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AB Documents\REV Documents\Access Engineering\"/>
    </mc:Choice>
  </mc:AlternateContent>
  <xr:revisionPtr revIDLastSave="0" documentId="13_ncr:1_{55F8CD5C-49D1-4996-91EB-7234F613D9EA}" xr6:coauthVersionLast="47" xr6:coauthVersionMax="47" xr10:uidLastSave="{00000000-0000-0000-0000-000000000000}"/>
  <bookViews>
    <workbookView xWindow="-108" yWindow="-108" windowWidth="30936" windowHeight="16776" xr2:uid="{BBA043B1-FE0B-4DAD-A22B-0FB83DEE9317}"/>
  </bookViews>
  <sheets>
    <sheet name="books" sheetId="16" r:id="rId1"/>
    <sheet name="videos" sheetId="1" r:id="rId2"/>
    <sheet name="spreadsheets" sheetId="3" r:id="rId3"/>
    <sheet name="tutorials" sheetId="6" r:id="rId4"/>
    <sheet name="case studies" sheetId="8" r:id="rId5"/>
    <sheet name="DataVis Projects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1" i="3" l="1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A9E925-EC9C-4AB1-973D-DE3EB18DE061}" keepAlive="1" name="Poizvedba – accessEngineering_title_export-item_book" description="Povezava s poizvedbo »accessEngineering_title_export-item_book« v delovnem zvezku." type="5" refreshedVersion="0" background="1">
    <dbPr connection="Provider=Microsoft.Mashup.OleDb.1;Data Source=$Workbook$;Location=accessEngineering_title_export-item_book;Extended Properties=&quot;&quot;" command="SELECT * FROM [accessEngineering_title_export-item_book]"/>
  </connection>
  <connection id="2" xr16:uid="{94C22A1E-1E48-4A5B-818C-97350521EF69}" keepAlive="1" name="Poizvedba – accessEngineering_title_export-item_book (1)" description="Povezava s poizvedbo »accessEngineering_title_export-item_book (1)« v delovnem zvezku." type="5" refreshedVersion="7" background="1" saveData="1">
    <dbPr connection="Provider=Microsoft.Mashup.OleDb.1;Data Source=$Workbook$;Location=&quot;accessEngineering_title_export-item_book (1)&quot;;Extended Properties=&quot;&quot;" command="SELECT * FROM [accessEngineering_title_export-item_book (1)]"/>
  </connection>
  <connection id="3" xr16:uid="{41B753AB-B434-41C1-A9B3-C4E74F81B946}" keepAlive="1" name="Poizvedba – accessEngineering_title_export-item_case_study" description="Povezava s poizvedbo »accessEngineering_title_export-item_case_study« v delovnem zvezku." type="5" refreshedVersion="7" background="1" saveData="1">
    <dbPr connection="Provider=Microsoft.Mashup.OleDb.1;Data Source=$Workbook$;Location=accessEngineering_title_export-item_case_study;Extended Properties=&quot;&quot;" command="SELECT * FROM [accessEngineering_title_export-item_case_study]"/>
  </connection>
  <connection id="4" xr16:uid="{07F91A78-09B8-4D5D-9071-5BC4D0712CF6}" keepAlive="1" name="Poizvedba – accessEngineering_title_export-item_datavis_project" description="Povezava s poizvedbo »accessEngineering_title_export-item_datavis_project« v delovnem zvezku." type="5" refreshedVersion="7" background="1" saveData="1">
    <dbPr connection="Provider=Microsoft.Mashup.OleDb.1;Data Source=$Workbook$;Location=accessEngineering_title_export-item_datavis_project;Extended Properties=&quot;&quot;" command="SELECT * FROM [accessEngineering_title_export-item_datavis_project]"/>
  </connection>
  <connection id="5" xr16:uid="{A2699C5A-B112-4F29-ABED-4DD31396EB2C}" keepAlive="1" name="Poizvedba – accessEngineering_title_export-item_tutorial" description="Povezava s poizvedbo »accessEngineering_title_export-item_tutorial« v delovnem zvezku." type="5" refreshedVersion="7" background="1" saveData="1">
    <dbPr connection="Provider=Microsoft.Mashup.OleDb.1;Data Source=$Workbook$;Location=accessEngineering_title_export-item_tutorial;Extended Properties=&quot;&quot;" command="SELECT * FROM [accessEngineering_title_export-item_tutorial]"/>
  </connection>
  <connection id="6" xr16:uid="{518F3C26-99C4-4DE2-B1A5-AD4A9155EC49}" keepAlive="1" name="Poizvedba – AccessEngineeringKBART (1)" description="Povezava s poizvedbo »AccessEngineeringKBART (1)« v delovnem zvezku." type="5" refreshedVersion="7" background="1" saveData="1">
    <dbPr connection="Provider=Microsoft.Mashup.OleDb.1;Data Source=$Workbook$;Location=&quot;AccessEngineeringKBART (1)&quot;;Extended Properties=&quot;&quot;" command="SELECT * FROM [AccessEngineeringKBART (1)]"/>
  </connection>
  <connection id="7" xr16:uid="{845289BB-5D94-46BB-A3F8-88543823BF59}" keepAlive="1" name="Poizvedba – AccessEngineeringKBART (2)" description="Povezava s poizvedbo »AccessEngineeringKBART (2)« v delovnem zvezku." type="5" refreshedVersion="7" background="1" saveData="1">
    <dbPr connection="Provider=Microsoft.Mashup.OleDb.1;Data Source=$Workbook$;Location=&quot;AccessEngineeringKBART (2)&quot;;Extended Properties=&quot;&quot;" command="SELECT * FROM [AccessEngineeringKBART (2)]"/>
  </connection>
</connections>
</file>

<file path=xl/sharedStrings.xml><?xml version="1.0" encoding="utf-8"?>
<sst xmlns="http://schemas.openxmlformats.org/spreadsheetml/2006/main" count="37538" uniqueCount="8512">
  <si>
    <t>Content type</t>
  </si>
  <si>
    <t>ID</t>
  </si>
  <si>
    <t>Title</t>
  </si>
  <si>
    <t>Parent ISBN</t>
  </si>
  <si>
    <t>Author</t>
  </si>
  <si>
    <t>Publisher</t>
  </si>
  <si>
    <t>Copyright year</t>
  </si>
  <si>
    <t>Date posted</t>
  </si>
  <si>
    <t>Subjects</t>
  </si>
  <si>
    <t>Top level subjects</t>
  </si>
  <si>
    <t>Archived?</t>
  </si>
  <si>
    <t>URL</t>
  </si>
  <si>
    <t>Resource URI</t>
  </si>
  <si>
    <t>McGraw-Hill Professional</t>
  </si>
  <si>
    <t>Materials engineering | Industrial engineering</t>
  </si>
  <si>
    <t>No</t>
  </si>
  <si>
    <t>https://www.accessengineeringlibrary.com/content/book/9780070071391</t>
  </si>
  <si>
    <t/>
  </si>
  <si>
    <t>Civil engineering | Engineering management</t>
  </si>
  <si>
    <t>https://www.accessengineeringlibrary.com/content/book/9780070063112</t>
  </si>
  <si>
    <t>Electrical engineering</t>
  </si>
  <si>
    <t>https://www.accessengineeringlibrary.com/content/book/9780071621274</t>
  </si>
  <si>
    <t>Peter Gevorkian</t>
  </si>
  <si>
    <t>https://www.accessengineeringlibrary.com/content/book/9780071621472</t>
  </si>
  <si>
    <t>Paula Wagner</t>
  </si>
  <si>
    <t>Engineering management</t>
  </si>
  <si>
    <t>https://www.accessengineeringlibrary.com/content/book/9780071621830</t>
  </si>
  <si>
    <t>Dr. Simon Monk</t>
  </si>
  <si>
    <t>Makerspace</t>
  </si>
  <si>
    <t>https://www.accessengineeringlibrary.com/content/book/9780071844635</t>
  </si>
  <si>
    <t>https://www.accessengineeringlibrary.com/content/book/9780071825917</t>
  </si>
  <si>
    <t>Mechanical engineering | Chemical engineering</t>
  </si>
  <si>
    <t>https://www.accessengineeringlibrary.com/content/book/9780071622974</t>
  </si>
  <si>
    <t>Jerry Yudelson</t>
  </si>
  <si>
    <t>https://www.accessengineeringlibrary.com/content/book/9780071546010</t>
  </si>
  <si>
    <t>https://www.accessengineeringlibrary.com/content/book/9780070620995</t>
  </si>
  <si>
    <t>Civil engineering</t>
  </si>
  <si>
    <t>https://www.accessengineeringlibrary.com/content/book/9780071545914</t>
  </si>
  <si>
    <t>Chemical engineering | Civil engineering | Mechanical engineering</t>
  </si>
  <si>
    <t>https://www.accessengineeringlibrary.com/content/book/9780071363723</t>
  </si>
  <si>
    <t>Pramod Jain Ph.D.</t>
  </si>
  <si>
    <t>https://www.accessengineeringlibrary.com/content/book/9780071843843</t>
  </si>
  <si>
    <t>Mechanical engineering | Civil engineering</t>
  </si>
  <si>
    <t>https://www.accessengineeringlibrary.com/content/book/9780071377577</t>
  </si>
  <si>
    <t>https://www.accessengineeringlibrary.com/content/book/9780071626965</t>
  </si>
  <si>
    <t>https://www.accessengineeringlibrary.com/content/book/9780071440578</t>
  </si>
  <si>
    <t>https://www.accessengineeringlibrary.com/content/book/9780070604605</t>
  </si>
  <si>
    <t>https://www.accessengineeringlibrary.com/content/book/9780070617391</t>
  </si>
  <si>
    <t>Mathematics</t>
  </si>
  <si>
    <t>https://www.accessengineeringlibrary.com/content/book/9780071831284</t>
  </si>
  <si>
    <t>Joseph Fiksel</t>
  </si>
  <si>
    <t>https://www.accessengineeringlibrary.com/content/book/9780071605564</t>
  </si>
  <si>
    <t>Sabrie Soloman</t>
  </si>
  <si>
    <t>https://www.accessengineeringlibrary.com/content/book/9780071605724</t>
  </si>
  <si>
    <t>Electrical engineering | Energy engineering | Mechanical engineering</t>
  </si>
  <si>
    <t>https://www.accessengineeringlibrary.com/content/book/9780071848565</t>
  </si>
  <si>
    <t>https://www.accessengineeringlibrary.com/content/book/9780071826686</t>
  </si>
  <si>
    <t>https://www.accessengineeringlibrary.com/content/book/9780071497329</t>
  </si>
  <si>
    <t>Mark Johnson</t>
  </si>
  <si>
    <t>https://www.accessengineeringlibrary.com/content/book/9780071409445</t>
  </si>
  <si>
    <t>Robert Wrede</t>
  </si>
  <si>
    <t>Calculus</t>
  </si>
  <si>
    <t>https://www.accessengineeringlibrary.com/content/book/9780071623667</t>
  </si>
  <si>
    <t>Prem Krishna</t>
  </si>
  <si>
    <t>Civil engineering | Mechanical engineering</t>
  </si>
  <si>
    <t>https://www.accessengineeringlibrary.com/content/book/9781259028472</t>
  </si>
  <si>
    <t>Eric Kleinert</t>
  </si>
  <si>
    <t>Mechanical engineering | Industrial engineering</t>
  </si>
  <si>
    <t>https://www.accessengineeringlibrary.com/content/book/9780071825658</t>
  </si>
  <si>
    <t>https://www.accessengineeringlibrary.com/content/book/9780070410442</t>
  </si>
  <si>
    <t>https://www.accessengineeringlibrary.com/content/book/9780070680739</t>
  </si>
  <si>
    <t>https://www.accessengineeringlibrary.com/content/book/9780071408752</t>
  </si>
  <si>
    <t>https://www.accessengineeringlibrary.com/content/book/9780071825078</t>
  </si>
  <si>
    <t>https://www.accessengineeringlibrary.com/content/book/9780071359566</t>
  </si>
  <si>
    <t>https://www.accessengineeringlibrary.com/content/book/9780071360661</t>
  </si>
  <si>
    <t>https://www.accessengineeringlibrary.com/content/book/9780071367127</t>
  </si>
  <si>
    <t>https://www.accessengineeringlibrary.com/content/book/9780071351393</t>
  </si>
  <si>
    <t>Larry W. Mays</t>
  </si>
  <si>
    <t>https://www.accessengineeringlibrary.com/content/book/9780071354714</t>
  </si>
  <si>
    <t>https://www.accessengineeringlibrary.com/content/book/9780071848060</t>
  </si>
  <si>
    <t>Engineering management | Civil engineering</t>
  </si>
  <si>
    <t>https://www.accessengineeringlibrary.com/content/book/9780071849234</t>
  </si>
  <si>
    <t>Jerry C. Whitaker</t>
  </si>
  <si>
    <t>https://www.accessengineeringlibrary.com/content/book/9780071826266</t>
  </si>
  <si>
    <t>Julian Thornton</t>
  </si>
  <si>
    <t>2008</t>
  </si>
  <si>
    <t>https://www.accessengineeringlibrary.com/content/book/9780071499187</t>
  </si>
  <si>
    <t>https://www.accessengineeringlibrary.com/content/book/9780071605700</t>
  </si>
  <si>
    <t>https://www.accessengineeringlibrary.com/content/book/9780071441643</t>
  </si>
  <si>
    <t>https://www.accessengineeringlibrary.com/content/book/9780070148789</t>
  </si>
  <si>
    <t>Electrical engineering | Energy engineering | Mechanical engineering | Chemical engineering | Civil engineering</t>
  </si>
  <si>
    <t>https://www.accessengineeringlibrary.com/content/book/9780070707023</t>
  </si>
  <si>
    <t>Mechanical engineering | Electrical engineering | Energy engineering | Industrial engineering</t>
  </si>
  <si>
    <t>https://www.accessengineeringlibrary.com/content/book/9780071826617</t>
  </si>
  <si>
    <t>Pradyot Patnaik</t>
  </si>
  <si>
    <t>Sciences</t>
  </si>
  <si>
    <t>https://www.accessengineeringlibrary.com/content/book/9780071410601</t>
  </si>
  <si>
    <t>https://www.accessengineeringlibrary.com/content/book/9780070680128</t>
  </si>
  <si>
    <t>Business skills</t>
  </si>
  <si>
    <t>https://www.accessengineeringlibrary.com/content/book/9780071387576</t>
  </si>
  <si>
    <t>T. Pradeep</t>
  </si>
  <si>
    <t>https://www.accessengineeringlibrary.com/content/book/9780071548298</t>
  </si>
  <si>
    <t>George Tchobanoglous</t>
  </si>
  <si>
    <t>Environmental engineering</t>
  </si>
  <si>
    <t>https://www.accessengineeringlibrary.com/content/book/9780071356237</t>
  </si>
  <si>
    <t>https://www.accessengineeringlibrary.com/content/book/9780071360227</t>
  </si>
  <si>
    <t>https://www.accessengineeringlibrary.com/content/book/9780070483095</t>
  </si>
  <si>
    <t>https://www.accessengineeringlibrary.com/content/book/9780071848299</t>
  </si>
  <si>
    <t>https://www.accessengineeringlibrary.com/content/book/9780071829595</t>
  </si>
  <si>
    <t>Willem Kymmell</t>
  </si>
  <si>
    <t>https://www.accessengineeringlibrary.com/content/book/9780071494533</t>
  </si>
  <si>
    <t>Organic Electronics in Sensors and Biotechnology</t>
  </si>
  <si>
    <t>Ruth Shinar</t>
  </si>
  <si>
    <t>https://www.accessengineeringlibrary.com/content/book/9780071596756</t>
  </si>
  <si>
    <t>https://www.accessengineeringlibrary.com/content/book/9780070276895</t>
  </si>
  <si>
    <t>https://www.accessengineeringlibrary.com/content/book/9780071371605</t>
  </si>
  <si>
    <t>Sciences | Chemical engineering</t>
  </si>
  <si>
    <t>https://www.accessengineeringlibrary.com/content/book/9780071410373</t>
  </si>
  <si>
    <t>Morey Stettner</t>
  </si>
  <si>
    <t>https://www.accessengineeringlibrary.com/content/book/9780071356183</t>
  </si>
  <si>
    <t>https://www.accessengineeringlibrary.com/content/book/9780073250328</t>
  </si>
  <si>
    <t>Indrajit Dasgupta</t>
  </si>
  <si>
    <t>https://www.accessengineeringlibrary.com/content/book/9780070436404</t>
  </si>
  <si>
    <t>Donald Watson</t>
  </si>
  <si>
    <t>https://www.accessengineeringlibrary.com/content/book/9780070685079</t>
  </si>
  <si>
    <t>Daniel Dana Ph.D.</t>
  </si>
  <si>
    <t>https://www.accessengineeringlibrary.com/content/book/9780071364317</t>
  </si>
  <si>
    <t>https://www.accessengineeringlibrary.com/content/book/9780071351768</t>
  </si>
  <si>
    <t>Mohammad Najafi Ph.D. P.E. F.ASCE</t>
  </si>
  <si>
    <t>https://www.accessengineeringlibrary.com/content/book/9780071823340</t>
  </si>
  <si>
    <t>https://www.accessengineeringlibrary.com/content/book/9780070610408</t>
  </si>
  <si>
    <t>Bob Chomycz</t>
  </si>
  <si>
    <t>https://www.accessengineeringlibrary.com/content/book/9780071499194</t>
  </si>
  <si>
    <t>https://www.accessengineeringlibrary.com/content/book/9780071508193</t>
  </si>
  <si>
    <t>https://www.accessengineeringlibrary.com/content/book/9780071342131</t>
  </si>
  <si>
    <t>Abbas Firoozabadi</t>
  </si>
  <si>
    <t>Chemical engineering | Mechanical engineering</t>
  </si>
  <si>
    <t>https://www.accessengineeringlibrary.com/content/book/9780071843256</t>
  </si>
  <si>
    <t>https://www.accessengineeringlibrary.com/content/book/9780071825719</t>
  </si>
  <si>
    <t>Hagop Injeyan</t>
  </si>
  <si>
    <t>https://www.accessengineeringlibrary.com/content/book/9780071609012</t>
  </si>
  <si>
    <t>Alok Nayar</t>
  </si>
  <si>
    <t>Materials engineering | Civil engineering</t>
  </si>
  <si>
    <t>https://www.accessengineeringlibrary.com/content/book/9780070581647</t>
  </si>
  <si>
    <t>K. Lingaiah</t>
  </si>
  <si>
    <t>https://www.accessengineeringlibrary.com/content/book/9780071367073</t>
  </si>
  <si>
    <t>https://www.accessengineeringlibrary.com/content/book/9780071823128</t>
  </si>
  <si>
    <t>Electrical engineering | Mechanical engineering</t>
  </si>
  <si>
    <t>https://www.accessengineeringlibrary.com/content/book/9780071829489</t>
  </si>
  <si>
    <t>Banqiu Wu</t>
  </si>
  <si>
    <t>https://www.accessengineeringlibrary.com/content/book/9780071549189</t>
  </si>
  <si>
    <t>Arthur Beiser</t>
  </si>
  <si>
    <t>https://www.accessengineeringlibrary.com/content/book/9780071611572</t>
  </si>
  <si>
    <t>Eduardo Cao</t>
  </si>
  <si>
    <t>Chemical engineering | Mechanical engineering | Sciences</t>
  </si>
  <si>
    <t>https://www.accessengineeringlibrary.com/content/book/9780071624084</t>
  </si>
  <si>
    <t>https://www.accessengineeringlibrary.com/content/book/9780071402149</t>
  </si>
  <si>
    <t>Michel Bruneau Ph.D. P.Eng.</t>
  </si>
  <si>
    <t>Civil engineering | Materials engineering | Mechanical engineering</t>
  </si>
  <si>
    <t>https://www.accessengineeringlibrary.com/content/book/9780071623957</t>
  </si>
  <si>
    <t>https://www.accessengineeringlibrary.com/content/book/9780071360760</t>
  </si>
  <si>
    <t>https://www.accessengineeringlibrary.com/content/book/9780071848091</t>
  </si>
  <si>
    <t>https://www.accessengineeringlibrary.com/content/book/9780071822381</t>
  </si>
  <si>
    <t>Greg Brue</t>
  </si>
  <si>
    <t>https://www.accessengineeringlibrary.com/content/book/9780071430081</t>
  </si>
  <si>
    <t>Alexander Newman P.E. F.ASCE</t>
  </si>
  <si>
    <t>https://www.accessengineeringlibrary.com/content/book/9780071828963</t>
  </si>
  <si>
    <t>Sciences | Materials engineering</t>
  </si>
  <si>
    <t>https://www.accessengineeringlibrary.com/content/book/9780070528031</t>
  </si>
  <si>
    <t>https://www.accessengineeringlibrary.com/content/book/9781259058479</t>
  </si>
  <si>
    <t>Finance for Nonfinancial Managers, Second Edition (Briefcase Books Series)</t>
  </si>
  <si>
    <t>Gene Siciliano</t>
  </si>
  <si>
    <t>Engineering management | Business skills</t>
  </si>
  <si>
    <t>https://www.accessengineeringlibrary.com/content/book/9780071824361</t>
  </si>
  <si>
    <t>Lawrence K. Shapiro P.E.</t>
  </si>
  <si>
    <t>Civil engineering | Industrial engineering | Mechanical engineering</t>
  </si>
  <si>
    <t>https://www.accessengineeringlibrary.com/content/book/9780071625579</t>
  </si>
  <si>
    <t>https://www.accessengineeringlibrary.com/content/book/9780071344166</t>
  </si>
  <si>
    <t>Michael Bass</t>
  </si>
  <si>
    <t>https://www.accessengineeringlibrary.com/content/book/9780071498920</t>
  </si>
  <si>
    <t>https://www.accessengineeringlibrary.com/content/book/9780070616233</t>
  </si>
  <si>
    <t>https://www.accessengineeringlibrary.com/content/book/9780071498913</t>
  </si>
  <si>
    <t>Myer Kutz</t>
  </si>
  <si>
    <t>https://www.accessengineeringlibrary.com/content/book/9780071410410</t>
  </si>
  <si>
    <t>Engineering management | Industrial engineering | Business skills</t>
  </si>
  <si>
    <t>https://www.accessengineeringlibrary.com/content/book/9780071843157</t>
  </si>
  <si>
    <t>https://www.accessengineeringlibrary.com/content/book/9780071850131</t>
  </si>
  <si>
    <t>Water Environment Federation</t>
  </si>
  <si>
    <t>https://www.accessengineeringlibrary.com/content/book/9780071850445</t>
  </si>
  <si>
    <t>https://www.accessengineeringlibrary.com/content/book/9780070620902</t>
  </si>
  <si>
    <t>Louis Theodore</t>
  </si>
  <si>
    <t>Chemical engineering</t>
  </si>
  <si>
    <t>https://www.accessengineeringlibrary.com/content/book/9780071831314</t>
  </si>
  <si>
    <t>Hemant Joshi</t>
  </si>
  <si>
    <t>https://www.accessengineeringlibrary.com/content/book/9780070620988</t>
  </si>
  <si>
    <t>https://www.accessengineeringlibrary.com/content/book/9781259006067</t>
  </si>
  <si>
    <t>https://www.accessengineeringlibrary.com/content/book/9780071823463</t>
  </si>
  <si>
    <t>https://www.accessengineeringlibrary.com/content/book/9780071471718</t>
  </si>
  <si>
    <t>https://www.accessengineeringlibrary.com/content/book/9780071445139</t>
  </si>
  <si>
    <t>https://www.accessengineeringlibrary.com/content/book/9781259007347</t>
  </si>
  <si>
    <t>Mark R. Wiesner</t>
  </si>
  <si>
    <t>Materials engineering</t>
  </si>
  <si>
    <t>https://www.accessengineeringlibrary.com/content/book/9780071828444</t>
  </si>
  <si>
    <t>Roger L. Brockenbrough</t>
  </si>
  <si>
    <t>https://www.accessengineeringlibrary.com/content/book/9780071597630</t>
  </si>
  <si>
    <t>Alan Macnab</t>
  </si>
  <si>
    <t>https://www.accessengineeringlibrary.com/content/book/9780071373319</t>
  </si>
  <si>
    <t>https://www.accessengineeringlibrary.com/content/book/9780071599313</t>
  </si>
  <si>
    <t>Christopher Rush</t>
  </si>
  <si>
    <t>https://www.accessengineeringlibrary.com/content/book/9780071847063</t>
  </si>
  <si>
    <t>https://www.accessengineeringlibrary.com/content/book/9780071847841</t>
  </si>
  <si>
    <t>https://www.accessengineeringlibrary.com/content/book/9780070734012</t>
  </si>
  <si>
    <t>Andrei Grebennikov Ph.D.</t>
  </si>
  <si>
    <t>https://www.accessengineeringlibrary.com/content/book/9780071828628</t>
  </si>
  <si>
    <t>Ni-Bin Chang</t>
  </si>
  <si>
    <t>https://www.accessengineeringlibrary.com/content/book/9780071630054</t>
  </si>
  <si>
    <t>https://www.accessengineeringlibrary.com/content/book/9780071843331</t>
  </si>
  <si>
    <t>Electrical engineering | Mechanical engineering | Chemical engineering</t>
  </si>
  <si>
    <t>https://www.accessengineeringlibrary.com/content/book/9780071606134</t>
  </si>
  <si>
    <t>Charles Prather Ph.D.</t>
  </si>
  <si>
    <t>Business skills | Engineering management</t>
  </si>
  <si>
    <t>https://www.accessengineeringlibrary.com/content/book/9780071627979</t>
  </si>
  <si>
    <t>https://www.accessengineeringlibrary.com/content/book/9780072432022</t>
  </si>
  <si>
    <t>https://www.accessengineeringlibrary.com/content/book/9780071605243</t>
  </si>
  <si>
    <t>Yoav Peleg Ph.D.</t>
  </si>
  <si>
    <t>https://www.accessengineeringlibrary.com/content/book/9780071623582</t>
  </si>
  <si>
    <t>Robert Bacal</t>
  </si>
  <si>
    <t>https://www.accessengineeringlibrary.com/content/book/9780071421737</t>
  </si>
  <si>
    <t>Robert Hickey</t>
  </si>
  <si>
    <t>https://www.accessengineeringlibrary.com/content/book/9780071418201</t>
  </si>
  <si>
    <t>https://www.accessengineeringlibrary.com/content/book/9780070687165</t>
  </si>
  <si>
    <t>Handbook of Transportation Engineering, Volume II: Applications and Technologies, Second Edition</t>
  </si>
  <si>
    <t>https://www.accessengineeringlibrary.com/content/book/9780071614771</t>
  </si>
  <si>
    <t>https://www.accessengineeringlibrary.com/content/book/9780070681675</t>
  </si>
  <si>
    <t>https://www.accessengineeringlibrary.com/content/book/9780070442726</t>
  </si>
  <si>
    <t>https://www.accessengineeringlibrary.com/content/book/9780070617681</t>
  </si>
  <si>
    <t>https://www.accessengineeringlibrary.com/content/book/9780071826945</t>
  </si>
  <si>
    <t>Richard Lambeck</t>
  </si>
  <si>
    <t>https://www.accessengineeringlibrary.com/content/book/9780071544689</t>
  </si>
  <si>
    <t>https://www.accessengineeringlibrary.com/content/book/9780070707047</t>
  </si>
  <si>
    <t>https://www.accessengineeringlibrary.com/content/book/9780070471788</t>
  </si>
  <si>
    <t>https://www.accessengineeringlibrary.com/content/book/9780070535558</t>
  </si>
  <si>
    <t>Thomas McCarty</t>
  </si>
  <si>
    <t>https://www.accessengineeringlibrary.com/content/book/9780071443296</t>
  </si>
  <si>
    <t>https://www.accessengineeringlibrary.com/content/book/9780071844611</t>
  </si>
  <si>
    <t>Heiko Meyer</t>
  </si>
  <si>
    <t>https://www.accessengineeringlibrary.com/content/book/9780071623834</t>
  </si>
  <si>
    <t>https://www.accessengineeringlibrary.com/content/book/9780071385466</t>
  </si>
  <si>
    <t>https://www.accessengineeringlibrary.com/content/book/9780070656963</t>
  </si>
  <si>
    <t>Andreas Antoniou Ph.D.</t>
  </si>
  <si>
    <t>https://www.accessengineeringlibrary.com/content/book/9780071846035</t>
  </si>
  <si>
    <t>https://www.accessengineeringlibrary.com/content/book/9780071850490</t>
  </si>
  <si>
    <t>https://www.accessengineeringlibrary.com/content/book/9780071357586</t>
  </si>
  <si>
    <t>Neil Sclater</t>
  </si>
  <si>
    <t>https://www.accessengineeringlibrary.com/content/book/9780071377515</t>
  </si>
  <si>
    <t>Ed Friedman</t>
  </si>
  <si>
    <t>https://www.accessengineeringlibrary.com/content/book/9780071385190</t>
  </si>
  <si>
    <t>https://www.accessengineeringlibrary.com/content/book/9780070383654</t>
  </si>
  <si>
    <t>https://www.accessengineeringlibrary.com/content/book/9780070620964</t>
  </si>
  <si>
    <t>Sid Kemp</t>
  </si>
  <si>
    <t>https://www.accessengineeringlibrary.com/content/book/9780071391337</t>
  </si>
  <si>
    <t>Jon Miller</t>
  </si>
  <si>
    <t>https://www.accessengineeringlibrary.com/content/book/9780071826853</t>
  </si>
  <si>
    <t>https://www.accessengineeringlibrary.com/content/book/9780071508216</t>
  </si>
  <si>
    <t>https://www.accessengineeringlibrary.com/content/book/9780070471061</t>
  </si>
  <si>
    <t>Tushar Bhattacharya</t>
  </si>
  <si>
    <t>https://www.accessengineeringlibrary.com/content/book/9781259007361</t>
  </si>
  <si>
    <t>https://www.accessengineeringlibrary.com/content/book/9780071826631</t>
  </si>
  <si>
    <t>https://www.accessengineeringlibrary.com/content/book/9780071361927</t>
  </si>
  <si>
    <t>https://www.accessengineeringlibrary.com/content/book/9780071630115</t>
  </si>
  <si>
    <t>Markus Testorf</t>
  </si>
  <si>
    <t>https://www.accessengineeringlibrary.com/content/book/9780071597982</t>
  </si>
  <si>
    <t>Ahindra Nag Ph.D.</t>
  </si>
  <si>
    <t>https://www.accessengineeringlibrary.com/content/book/9780071606288</t>
  </si>
  <si>
    <t>https://www.accessengineeringlibrary.com/content/book/9780070144552</t>
  </si>
  <si>
    <t>https://www.accessengineeringlibrary.com/content/book/9780070657069</t>
  </si>
  <si>
    <t>https://www.accessengineeringlibrary.com/content/book/9780071498890</t>
  </si>
  <si>
    <t>Rodd Wagner</t>
  </si>
  <si>
    <t>https://www.accessengineeringlibrary.com/content/book/9780071847780</t>
  </si>
  <si>
    <t>https://www.accessengineeringlibrary.com/content/book/9781259058462</t>
  </si>
  <si>
    <t>https://www.accessengineeringlibrary.com/content/book/9780071384766</t>
  </si>
  <si>
    <t>https://www.accessengineeringlibrary.com/content/book/9780070620971</t>
  </si>
  <si>
    <t>Donald Christiansen</t>
  </si>
  <si>
    <t>https://www.accessengineeringlibrary.com/content/book/9780071384216</t>
  </si>
  <si>
    <t>Eric Teicholz</t>
  </si>
  <si>
    <t>https://www.accessengineeringlibrary.com/content/book/9780071353946</t>
  </si>
  <si>
    <t>S. Ponnuswamy</t>
  </si>
  <si>
    <t>https://www.accessengineeringlibrary.com/content/book/9781259002731</t>
  </si>
  <si>
    <t>H. Wayne Beaty</t>
  </si>
  <si>
    <t>https://www.accessengineeringlibrary.com/content/book/9780071823906</t>
  </si>
  <si>
    <t>https://www.accessengineeringlibrary.com/content/book/9780074455494</t>
  </si>
  <si>
    <t>Tariq Siddiqui</t>
  </si>
  <si>
    <t>https://www.accessengineeringlibrary.com/content/book/9780071831130</t>
  </si>
  <si>
    <t>Civil engineering | Chemical engineering | Mechanical engineering</t>
  </si>
  <si>
    <t>https://www.accessengineeringlibrary.com/content/book/9780071440905</t>
  </si>
  <si>
    <t>https://www.accessengineeringlibrary.com/content/book/9780070696396</t>
  </si>
  <si>
    <t>Electronics Manufacturing: With Lead-Free, Halogen-Free, and Conductive-Adhesive Materials</t>
  </si>
  <si>
    <t>John H. Lau</t>
  </si>
  <si>
    <t>https://www.accessengineeringlibrary.com/content/book/9780071386241</t>
  </si>
  <si>
    <t>https://www.accessengineeringlibrary.com/content/book/9781265515478</t>
  </si>
  <si>
    <t>Thomas Pyzdek</t>
  </si>
  <si>
    <t>https://www.accessengineeringlibrary.com/content/book/9780071799249</t>
  </si>
  <si>
    <t>https://www.accessengineeringlibrary.com/content/book/9780071834780</t>
  </si>
  <si>
    <t>Juran's Quality Handbook: The Complete Guide to Performance Excellence, Sixth Edition</t>
  </si>
  <si>
    <t>Joseph M. Juran</t>
  </si>
  <si>
    <t>https://www.accessengineeringlibrary.com/content/book/9780071629737</t>
  </si>
  <si>
    <t>https://www.accessengineeringlibrary.com/content/book/9781264278824</t>
  </si>
  <si>
    <t>https://www.accessengineeringlibrary.com/content/book/9780070116825</t>
  </si>
  <si>
    <t>https://www.accessengineeringlibrary.com/content/book/9780071777117</t>
  </si>
  <si>
    <t>https://www.accessengineeringlibrary.com/content/book/9781260456547</t>
  </si>
  <si>
    <t>https://www.accessengineeringlibrary.com/content/book/9781259859366</t>
  </si>
  <si>
    <t>Anne Bruce</t>
  </si>
  <si>
    <t>Business communication</t>
  </si>
  <si>
    <t>https://www.accessengineeringlibrary.com/content/book/9781264842513</t>
  </si>
  <si>
    <t>https://www.accessengineeringlibrary.com/content/book/9781260128581</t>
  </si>
  <si>
    <t>https://www.accessengineeringlibrary.com/content/book/9781260462296</t>
  </si>
  <si>
    <t>https://www.accessengineeringlibrary.com/content/book/9780071745529</t>
  </si>
  <si>
    <t>https://www.accessengineeringlibrary.com/content/book/9780071817721</t>
  </si>
  <si>
    <t>https://www.accessengineeringlibrary.com/content/book/9780071818674</t>
  </si>
  <si>
    <t>Bob Rosner</t>
  </si>
  <si>
    <t>https://www.accessengineeringlibrary.com/content/book/9780071668088</t>
  </si>
  <si>
    <t>Programming Arduino Next Steps: Going Further with Sketches</t>
  </si>
  <si>
    <t>https://www.accessengineeringlibrary.com/content/book/9780071830256</t>
  </si>
  <si>
    <t>IC Mask Design: Essential Layout Techniques</t>
  </si>
  <si>
    <t>Christopher Saint</t>
  </si>
  <si>
    <t>https://www.accessengineeringlibrary.com/content/book/9780071389969</t>
  </si>
  <si>
    <t>Frank Ayres Jr. PhD</t>
  </si>
  <si>
    <t>https://www.accessengineeringlibrary.com/content/book/9780071795531</t>
  </si>
  <si>
    <t>Hwaiyu Geng CMfgE PE</t>
  </si>
  <si>
    <t>https://www.accessengineeringlibrary.com/content/book/9780071839778</t>
  </si>
  <si>
    <t>SOA-Based Enterprise Integration: A Step-by-Step Guide to Services-Based Application Integration</t>
  </si>
  <si>
    <t>Waseem Roshen</t>
  </si>
  <si>
    <t>https://www.accessengineeringlibrary.com/content/book/9780071605526</t>
  </si>
  <si>
    <t>Paul Keller</t>
  </si>
  <si>
    <t>https://www.accessengineeringlibrary.com/content/book/9780071746793</t>
  </si>
  <si>
    <t>https://www.accessengineeringlibrary.com/content/book/9781259859700</t>
  </si>
  <si>
    <t>https://www.accessengineeringlibrary.com/content/book/9780071443227</t>
  </si>
  <si>
    <t>Robert Horonjeff</t>
  </si>
  <si>
    <t>https://www.accessengineeringlibrary.com/content/book/9780071446419</t>
  </si>
  <si>
    <t>Chemical engineering | Civil engineering | Mechanical engineering | Electrical engineering | Energy engineering</t>
  </si>
  <si>
    <t>https://www.accessengineeringlibrary.com/content/book/9780071457842</t>
  </si>
  <si>
    <t>Hector Estrada Ph.D. P.E.</t>
  </si>
  <si>
    <t>https://www.accessengineeringlibrary.com/content/book/9781264266630</t>
  </si>
  <si>
    <t>Herbert L. Nichols, Jr</t>
  </si>
  <si>
    <t>https://www.accessengineeringlibrary.com/content/book/9780071430586</t>
  </si>
  <si>
    <t>Massimo Mitolo</t>
  </si>
  <si>
    <t>https://www.accessengineeringlibrary.com/content/book/9780071508186</t>
  </si>
  <si>
    <t>https://www.accessengineeringlibrary.com/content/book/9780071455381</t>
  </si>
  <si>
    <t>J Prasad</t>
  </si>
  <si>
    <t>https://www.accessengineeringlibrary.com/content/book/9780070707030</t>
  </si>
  <si>
    <t>Thomas K. Eismin</t>
  </si>
  <si>
    <t>https://www.accessengineeringlibrary.com/content/book/9781260108217</t>
  </si>
  <si>
    <t>Simon Monk</t>
  </si>
  <si>
    <t>https://www.accessengineeringlibrary.com/content/book/9781264676989</t>
  </si>
  <si>
    <t>https://www.accessengineeringlibrary.com/content/book/9780071606165</t>
  </si>
  <si>
    <t>Gregory K. McMillan</t>
  </si>
  <si>
    <t>https://www.accessengineeringlibrary.com/content/book/9781260117974</t>
  </si>
  <si>
    <t>Shelley Osborne</t>
  </si>
  <si>
    <t>https://www.accessengineeringlibrary.com/content/book/9781260466683</t>
  </si>
  <si>
    <t>Engineering management | Industrial engineering</t>
  </si>
  <si>
    <t>https://www.accessengineeringlibrary.com/content/book/9781260461831</t>
  </si>
  <si>
    <t>https://www.accessengineeringlibrary.com/content/book/9781260123111</t>
  </si>
  <si>
    <t>https://www.accessengineeringlibrary.com/content/book/9781260458732</t>
  </si>
  <si>
    <t>Energy Systems Engineering: Evaluation and Implementation, Second Edition</t>
  </si>
  <si>
    <t>Francis M. Vanek</t>
  </si>
  <si>
    <t>https://www.accessengineeringlibrary.com/content/book/9780071787789</t>
  </si>
  <si>
    <t>https://www.accessengineeringlibrary.com/content/book/9780071803472</t>
  </si>
  <si>
    <t>Kerry Patterson</t>
  </si>
  <si>
    <t>https://www.accessengineeringlibrary.com/content/book/9780071771320</t>
  </si>
  <si>
    <t>Douglas Max</t>
  </si>
  <si>
    <t>https://www.accessengineeringlibrary.com/content/book/9780071745079</t>
  </si>
  <si>
    <t>https://www.accessengineeringlibrary.com/content/book/9781264787296</t>
  </si>
  <si>
    <t>https://www.accessengineeringlibrary.com/content/book/9780071842822</t>
  </si>
  <si>
    <t>https://www.accessengineeringlibrary.com/content/book/9780071666633</t>
  </si>
  <si>
    <t>https://www.accessengineeringlibrary.com/content/book/9780071614719</t>
  </si>
  <si>
    <t>Herbert Schildt</t>
  </si>
  <si>
    <t>https://www.accessengineeringlibrary.com/content/book/9781260463552</t>
  </si>
  <si>
    <t>https://www.accessengineeringlibrary.com/content/book/9780071819831</t>
  </si>
  <si>
    <t>Norman Lieberman</t>
  </si>
  <si>
    <t>https://www.accessengineeringlibrary.com/content/book/9780071496742</t>
  </si>
  <si>
    <t>https://www.accessengineeringlibrary.com/content/book/9780071768047</t>
  </si>
  <si>
    <t>https://www.accessengineeringlibrary.com/content/book/9789339205430</t>
  </si>
  <si>
    <t>Transformers, Second Edition</t>
  </si>
  <si>
    <t>BHEL (Bharat Heavy Electricals Limited)</t>
  </si>
  <si>
    <t>https://www.accessengineeringlibrary.com/content/book/9780070483156</t>
  </si>
  <si>
    <t>https://www.accessengineeringlibrary.com/content/book/9780071800655</t>
  </si>
  <si>
    <t>Civil engineering | Environmental engineering</t>
  </si>
  <si>
    <t>https://www.accessengineeringlibrary.com/content/book/9780071459273</t>
  </si>
  <si>
    <t>Robert W. Day</t>
  </si>
  <si>
    <t>https://www.accessengineeringlibrary.com/content/book/9780071761338</t>
  </si>
  <si>
    <t>Clement Kleinstreuer</t>
  </si>
  <si>
    <t>https://www.accessengineeringlibrary.com/content/book/9781260467802</t>
  </si>
  <si>
    <t>Standard Handbook of Broadcast Engineering</t>
  </si>
  <si>
    <t>https://www.accessengineeringlibrary.com/content/book/9780071451000</t>
  </si>
  <si>
    <t>Kay Kendall</t>
  </si>
  <si>
    <t>https://www.accessengineeringlibrary.com/content/book/9781259588662</t>
  </si>
  <si>
    <t>https://www.accessengineeringlibrary.com/content/book/9781259643132</t>
  </si>
  <si>
    <t>https://www.accessengineeringlibrary.com/content/book/9781260457148</t>
  </si>
  <si>
    <t>https://www.accessengineeringlibrary.com/content/book/9780071485470</t>
  </si>
  <si>
    <t>Handbook of Applied Hydrology, Second Edition</t>
  </si>
  <si>
    <t>Vijay P. Singh, Ph.D., D.Sc., D. Eng. (Hon.), Ph.D. (Hon.), D. Sc. (Hon.), P.E., P.H., Hon. D. WRE, Academician (GFA)</t>
  </si>
  <si>
    <t>https://www.accessengineeringlibrary.com/content/book/9780071835091</t>
  </si>
  <si>
    <t>Schaum's Outline of Linear Algebra, Sixth Edition</t>
  </si>
  <si>
    <t>Seymour Lipschutz, Ph.D.</t>
  </si>
  <si>
    <t>Linear algebra</t>
  </si>
  <si>
    <t>https://www.accessengineeringlibrary.com/content/book/9781260011449</t>
  </si>
  <si>
    <t>https://www.accessengineeringlibrary.com/content/book/9780071800020</t>
  </si>
  <si>
    <t>https://www.accessengineeringlibrary.com/content/book/9780071482431</t>
  </si>
  <si>
    <t>https://www.accessengineeringlibrary.com/content/book/9781260116977</t>
  </si>
  <si>
    <t>Kimball Fisher</t>
  </si>
  <si>
    <t>https://www.accessengineeringlibrary.com/content/book/9780071754934</t>
  </si>
  <si>
    <t>Robert Chin</t>
  </si>
  <si>
    <t>https://www.accessengineeringlibrary.com/content/book/9781260010893</t>
  </si>
  <si>
    <t>Peter Van Zant</t>
  </si>
  <si>
    <t>https://www.accessengineeringlibrary.com/content/book/9780071821018</t>
  </si>
  <si>
    <t>https://www.accessengineeringlibrary.com/content/book/9781264268184</t>
  </si>
  <si>
    <t>Civil engineering | Industrial engineering</t>
  </si>
  <si>
    <t>https://www.accessengineeringlibrary.com/content/book/9781260132298</t>
  </si>
  <si>
    <t>https://www.accessengineeringlibrary.com/content/book/9780070077911</t>
  </si>
  <si>
    <t>Gordon McComb</t>
  </si>
  <si>
    <t>https://www.accessengineeringlibrary.com/content/book/9781260135015</t>
  </si>
  <si>
    <t>Paul Scherz</t>
  </si>
  <si>
    <t>https://www.accessengineeringlibrary.com/content/book/9781259587542</t>
  </si>
  <si>
    <t>Algebra</t>
  </si>
  <si>
    <t>https://www.accessengineeringlibrary.com/content/book/9781260120769</t>
  </si>
  <si>
    <t>Schaum's Outline of Discrete Mathematics, 4th Edition</t>
  </si>
  <si>
    <t>Seymour Lipschutz PhD</t>
  </si>
  <si>
    <t>Discrete math</t>
  </si>
  <si>
    <t>https://www.accessengineeringlibrary.com/content/book/9781264258802</t>
  </si>
  <si>
    <t>https://www.accessengineeringlibrary.com/content/book/9780071809894</t>
  </si>
  <si>
    <t>Mahmood Nahvi</t>
  </si>
  <si>
    <t>https://www.accessengineeringlibrary.com/content/book/9781260120974</t>
  </si>
  <si>
    <t>https://www.accessengineeringlibrary.com/content/book/9781260441055</t>
  </si>
  <si>
    <t>https://www.accessengineeringlibrary.com/content/book/9781264270118</t>
  </si>
  <si>
    <t>Frederick S. Merritt</t>
  </si>
  <si>
    <t>https://www.accessengineeringlibrary.com/content/book/9780070419995</t>
  </si>
  <si>
    <t>Thomas B. Reddy</t>
  </si>
  <si>
    <t>https://www.accessengineeringlibrary.com/content/book/9780071624213</t>
  </si>
  <si>
    <t>https://www.accessengineeringlibrary.com/content/book/9780071805124</t>
  </si>
  <si>
    <t>Harvey Lehpamer</t>
  </si>
  <si>
    <t>https://www.accessengineeringlibrary.com/content/book/9780071701228</t>
  </si>
  <si>
    <t>https://www.accessengineeringlibrary.com/content/book/9781260441604</t>
  </si>
  <si>
    <t>Sammy G. Shina</t>
  </si>
  <si>
    <t>https://www.accessengineeringlibrary.com/content/book/9780071495943</t>
  </si>
  <si>
    <t>Herb Schildtâ€™s C++ Programming Cookbook</t>
  </si>
  <si>
    <t>Herb Schildt</t>
  </si>
  <si>
    <t>https://www.accessengineeringlibrary.com/content/book/9780071488600</t>
  </si>
  <si>
    <t>Eugene A. Avallone</t>
  </si>
  <si>
    <t>https://www.accessengineeringlibrary.com/content/book/9780071428675</t>
  </si>
  <si>
    <t>Sara Canaday</t>
  </si>
  <si>
    <t>https://www.accessengineeringlibrary.com/content/book/9781264573585</t>
  </si>
  <si>
    <t>Brownfields: Redeveloping Environmentally Distressed Properties</t>
  </si>
  <si>
    <t>Harold J. Rafson</t>
  </si>
  <si>
    <t>https://www.accessengineeringlibrary.com/content/book/9780070527683</t>
  </si>
  <si>
    <t>https://www.accessengineeringlibrary.com/content/book/9780071771115</t>
  </si>
  <si>
    <t>https://www.accessengineeringlibrary.com/content/book/9781259587665</t>
  </si>
  <si>
    <t>https://www.accessengineeringlibrary.com/content/book/9780071789943</t>
  </si>
  <si>
    <t>Robert Dybdal</t>
  </si>
  <si>
    <t>https://www.accessengineeringlibrary.com/content/book/9780071609180</t>
  </si>
  <si>
    <t>Martin Melaver</t>
  </si>
  <si>
    <t>https://www.accessengineeringlibrary.com/content/book/9780071599214</t>
  </si>
  <si>
    <t>F. Alton Everest</t>
  </si>
  <si>
    <t>https://www.accessengineeringlibrary.com/content/book/9781260473599</t>
  </si>
  <si>
    <t>Laura Poole</t>
  </si>
  <si>
    <t>https://www.accessengineeringlibrary.com/content/book/9780071809511</t>
  </si>
  <si>
    <t>https://www.accessengineeringlibrary.com/content/book/9780071745703</t>
  </si>
  <si>
    <t>https://www.accessengineeringlibrary.com/content/book/9780071763271</t>
  </si>
  <si>
    <t>Herbert Meislich PhD</t>
  </si>
  <si>
    <t>https://www.accessengineeringlibrary.com/content/book/9781265513320</t>
  </si>
  <si>
    <t>https://www.accessengineeringlibrary.com/content/book/9780071475730</t>
  </si>
  <si>
    <t>https://www.accessengineeringlibrary.com/content/book/9781264675913</t>
  </si>
  <si>
    <t>https://www.accessengineeringlibrary.com/content/book/9781260468519</t>
  </si>
  <si>
    <t>Synthetic Fuels Handbook: Properties, Process, and Performance</t>
  </si>
  <si>
    <t>James G. Speight</t>
  </si>
  <si>
    <t>https://www.accessengineeringlibrary.com/content/book/9780071490238</t>
  </si>
  <si>
    <t>https://www.accessengineeringlibrary.com/content/book/9781260460537</t>
  </si>
  <si>
    <t>https://www.accessengineeringlibrary.com/content/book/9781259643613</t>
  </si>
  <si>
    <t>Ethernet in the First Mile: The IEEE 802.3ah EFM Standard</t>
  </si>
  <si>
    <t>Michael Beck</t>
  </si>
  <si>
    <t>https://www.accessengineeringlibrary.com/content/book/9780071455060</t>
  </si>
  <si>
    <t>https://www.accessengineeringlibrary.com/content/book/9781260464344</t>
  </si>
  <si>
    <t>Peter Gevorkian Ph.D. PE</t>
  </si>
  <si>
    <t>https://www.accessengineeringlibrary.com/content/book/9780071473590</t>
  </si>
  <si>
    <t>Donald Norris</t>
  </si>
  <si>
    <t>https://www.accessengineeringlibrary.com/content/book/9781260031317</t>
  </si>
  <si>
    <t>2.5G MOBILE NETWORKS: GPRS and EDGE</t>
  </si>
  <si>
    <t>Sumit Kasera</t>
  </si>
  <si>
    <t>https://www.accessengineeringlibrary.com/content/book/9780070656925</t>
  </si>
  <si>
    <t>Make Your Own PCBs with EAGLE: From Schematic Designs to Finished Boards</t>
  </si>
  <si>
    <t>https://www.accessengineeringlibrary.com/content/book/9780071819251</t>
  </si>
  <si>
    <t>Jeff Hecht</t>
  </si>
  <si>
    <t>https://www.accessengineeringlibrary.com/content/book/9780071359672</t>
  </si>
  <si>
    <t>https://www.accessengineeringlibrary.com/content/book/9780070126183</t>
  </si>
  <si>
    <t>https://www.accessengineeringlibrary.com/content/book/9780070144569</t>
  </si>
  <si>
    <t>Paul Drake Jr.</t>
  </si>
  <si>
    <t>https://www.accessengineeringlibrary.com/content/book/9780070181311</t>
  </si>
  <si>
    <t>Manson Benedict Ph.D.</t>
  </si>
  <si>
    <t>https://www.accessengineeringlibrary.com/content/book/9780070045316</t>
  </si>
  <si>
    <t>Christine Beall</t>
  </si>
  <si>
    <t>https://www.accessengineeringlibrary.com/content/book/9780070067066</t>
  </si>
  <si>
    <t>Jerry Whitaker</t>
  </si>
  <si>
    <t>https://www.accessengineeringlibrary.com/content/book/9780070067172</t>
  </si>
  <si>
    <t>Rao R. Tummala</t>
  </si>
  <si>
    <t>https://www.accessengineeringlibrary.com/content/book/9780071459068</t>
  </si>
  <si>
    <t>https://www.accessengineeringlibrary.com/content/book/9780071713320</t>
  </si>
  <si>
    <t>https://www.accessengineeringlibrary.com/content/book/9781260474800</t>
  </si>
  <si>
    <t>Tyler G. Hicks</t>
  </si>
  <si>
    <t>https://www.accessengineeringlibrary.com/content/book/9780071614696</t>
  </si>
  <si>
    <t>Mechanical engineering</t>
  </si>
  <si>
    <t>https://www.accessengineeringlibrary.com/content/book/9780071458863</t>
  </si>
  <si>
    <t>Civil engineering | Materials engineering</t>
  </si>
  <si>
    <t>https://www.accessengineeringlibrary.com/content/book/9780071464628</t>
  </si>
  <si>
    <t>Merle C. Potter</t>
  </si>
  <si>
    <t>https://www.accessengineeringlibrary.com/content/book/9781260462869</t>
  </si>
  <si>
    <t>https://www.accessengineeringlibrary.com/content/book/9781260461466</t>
  </si>
  <si>
    <t>https://www.accessengineeringlibrary.com/content/book/9781260468489</t>
  </si>
  <si>
    <t>https://www.accessengineeringlibrary.com/content/book/9780070684997</t>
  </si>
  <si>
    <t>https://www.accessengineeringlibrary.com/content/book/9780071460453</t>
  </si>
  <si>
    <t>https://www.accessengineeringlibrary.com/content/book/9780071637930</t>
  </si>
  <si>
    <t>https://www.accessengineeringlibrary.com/content/book/9780071665544</t>
  </si>
  <si>
    <t>Michel Michaud</t>
  </si>
  <si>
    <t>https://www.accessengineeringlibrary.com/content/book/9780071700269</t>
  </si>
  <si>
    <t>https://www.accessengineeringlibrary.com/content/book/9781260473544</t>
  </si>
  <si>
    <t>https://www.accessengineeringlibrary.com/content/book/9780070349100</t>
  </si>
  <si>
    <t>https://www.accessengineeringlibrary.com/content/book/9780071476874</t>
  </si>
  <si>
    <t>Indranil Goswami Ph.D. P.E.</t>
  </si>
  <si>
    <t>Civil engineering | Mechanical engineering | Chemical engineering</t>
  </si>
  <si>
    <t>https://www.accessengineeringlibrary.com/content/book/9781266161117</t>
  </si>
  <si>
    <t>https://www.accessengineeringlibrary.com/content/book/9781264257188</t>
  </si>
  <si>
    <t>https://www.accessengineeringlibrary.com/content/book/9781264564460</t>
  </si>
  <si>
    <t>https://www.accessengineeringlibrary.com/content/book/9781264961702</t>
  </si>
  <si>
    <t>https://www.accessengineeringlibrary.com/content/book/9781260461527</t>
  </si>
  <si>
    <t>https://www.accessengineeringlibrary.com/content/book/9781260474312</t>
  </si>
  <si>
    <t>https://www.accessengineeringlibrary.com/content/book/9780070349094</t>
  </si>
  <si>
    <t>https://www.accessengineeringlibrary.com/content/book/9780070592544</t>
  </si>
  <si>
    <t>Kai Yang</t>
  </si>
  <si>
    <t>https://www.accessengineeringlibrary.com/content/book/9780071547673</t>
  </si>
  <si>
    <t>Abraham Pressman</t>
  </si>
  <si>
    <t>https://www.accessengineeringlibrary.com/content/book/9780071482721</t>
  </si>
  <si>
    <t>Harold Rothbart</t>
  </si>
  <si>
    <t>Mechanical engineering | Civil engineering | Materials engineering</t>
  </si>
  <si>
    <t>https://www.accessengineeringlibrary.com/content/book/9780071466363</t>
  </si>
  <si>
    <t>Steven Rogers</t>
  </si>
  <si>
    <t>https://www.accessengineeringlibrary.com/content/book/9781260461442</t>
  </si>
  <si>
    <t>https://www.accessengineeringlibrary.com/content/book/9780071333016</t>
  </si>
  <si>
    <t>https://www.accessengineeringlibrary.com/content/book/9780071377843</t>
  </si>
  <si>
    <t>https://www.accessengineeringlibrary.com/content/book/9781264278725</t>
  </si>
  <si>
    <t>Richard Bronson Ph.D.</t>
  </si>
  <si>
    <t>https://www.accessengineeringlibrary.com/content/book/9781264258826</t>
  </si>
  <si>
    <t>https://www.accessengineeringlibrary.com/content/book/9780071467605</t>
  </si>
  <si>
    <t>https://www.accessengineeringlibrary.com/content/book/9781265164348</t>
  </si>
  <si>
    <t>https://www.accessengineeringlibrary.com/content/book/9781260461503</t>
  </si>
  <si>
    <t>https://www.accessengineeringlibrary.com/content/book/9780070359710</t>
  </si>
  <si>
    <t>Narendra Taly Ph.D. P.E. F.ASCE</t>
  </si>
  <si>
    <t>https://www.accessengineeringlibrary.com/content/book/9780071475556</t>
  </si>
  <si>
    <t>Per Enge Ph.D. M.S. B.S.</t>
  </si>
  <si>
    <t>https://www.accessengineeringlibrary.com/content/book/9781260464078</t>
  </si>
  <si>
    <t>https://www.accessengineeringlibrary.com/content/book/9781260466928</t>
  </si>
  <si>
    <t>https://www.accessengineeringlibrary.com/content/book/9780070411524</t>
  </si>
  <si>
    <t>Yangsheng Xu</t>
  </si>
  <si>
    <t>https://www.accessengineeringlibrary.com/content/book/9780071826839</t>
  </si>
  <si>
    <t>https://www.accessengineeringlibrary.com/content/book/9780071476966</t>
  </si>
  <si>
    <t>https://www.accessengineeringlibrary.com/content/book/9780071493758</t>
  </si>
  <si>
    <t>Joseph J. Carr</t>
  </si>
  <si>
    <t>https://www.accessengineeringlibrary.com/content/book/9780071639583</t>
  </si>
  <si>
    <t>Praveen Kolar PhD</t>
  </si>
  <si>
    <t>Chemical engineering | Civil engineering | Mechanical engineering | Sciences</t>
  </si>
  <si>
    <t>https://www.accessengineeringlibrary.com/content/book/9781264268221</t>
  </si>
  <si>
    <t>Jay Arthur</t>
  </si>
  <si>
    <t>https://www.accessengineeringlibrary.com/content/book/9780071822831</t>
  </si>
  <si>
    <t>Robert T. Ratay</t>
  </si>
  <si>
    <t>https://www.accessengineeringlibrary.com/content/book/9780071498845</t>
  </si>
  <si>
    <t>Jay Gao</t>
  </si>
  <si>
    <t>https://www.accessengineeringlibrary.com/content/book/9780071604659</t>
  </si>
  <si>
    <t>https://www.accessengineeringlibrary.com/content/book/9780071614757</t>
  </si>
  <si>
    <t>https://www.accessengineeringlibrary.com/content/book/9780071635745</t>
  </si>
  <si>
    <t>https://www.accessengineeringlibrary.com/content/book/9781264651764</t>
  </si>
  <si>
    <t>James Tunnell</t>
  </si>
  <si>
    <t>https://www.accessengineeringlibrary.com/content/book/9780071626835</t>
  </si>
  <si>
    <t>https://www.accessengineeringlibrary.com/content/book/9780071448932</t>
  </si>
  <si>
    <t>Maheshwar Sharon</t>
  </si>
  <si>
    <t>https://www.accessengineeringlibrary.com/content/book/9780071639606</t>
  </si>
  <si>
    <t>Joseph Phillips PMP PMI-ACPÂ® PSMÂ® ITILÂ® CompTIA Project+â„˘ CompTIA CTT+â„˘</t>
  </si>
  <si>
    <t>https://www.accessengineeringlibrary.com/content/book/9781260467475</t>
  </si>
  <si>
    <t>Joseph Grenny</t>
  </si>
  <si>
    <t>https://www.accessengineeringlibrary.com/content/book/9781260474183</t>
  </si>
  <si>
    <t>Professor Tapobrata Panda</t>
  </si>
  <si>
    <t>https://www.accessengineeringlibrary.com/content/book/9780070704244</t>
  </si>
  <si>
    <t>George Harman</t>
  </si>
  <si>
    <t>https://www.accessengineeringlibrary.com/content/book/9780071476232</t>
  </si>
  <si>
    <t>https://www.accessengineeringlibrary.com/content/book/9780071633130</t>
  </si>
  <si>
    <t>Keith Billings</t>
  </si>
  <si>
    <t>https://www.accessengineeringlibrary.com/content/book/9780071639712</t>
  </si>
  <si>
    <t>https://www.accessengineeringlibrary.com/content/book/9781260463415</t>
  </si>
  <si>
    <t>Linbing Wang</t>
  </si>
  <si>
    <t>https://www.accessengineeringlibrary.com/content/book/9780071498548</t>
  </si>
  <si>
    <t>https://www.accessengineeringlibrary.com/content/book/9780071471602</t>
  </si>
  <si>
    <t>https://www.accessengineeringlibrary.com/content/book/9780071714792</t>
  </si>
  <si>
    <t>https://www.accessengineeringlibrary.com/content/book/9780071737050</t>
  </si>
  <si>
    <t>https://www.accessengineeringlibrary.com/content/book/9781265169145</t>
  </si>
  <si>
    <t>Michael Frankel</t>
  </si>
  <si>
    <t>https://www.accessengineeringlibrary.com/content/book/9780071597210</t>
  </si>
  <si>
    <t>https://www.accessengineeringlibrary.com/content/book/9780071445559</t>
  </si>
  <si>
    <t>Dennis Roddy</t>
  </si>
  <si>
    <t>https://www.accessengineeringlibrary.com/content/book/9780071462983</t>
  </si>
  <si>
    <t>https://www.accessengineeringlibrary.com/content/book/9780071704427</t>
  </si>
  <si>
    <t>https://www.accessengineeringlibrary.com/content/book/9781260463118</t>
  </si>
  <si>
    <t>Kal Renganathan Sharma</t>
  </si>
  <si>
    <t>https://www.accessengineeringlibrary.com/content/book/9780071663977</t>
  </si>
  <si>
    <t>Rick Wartzman</t>
  </si>
  <si>
    <t>https://www.accessengineeringlibrary.com/content/book/9780071700450</t>
  </si>
  <si>
    <t>https://www.accessengineeringlibrary.com/content/book/9780071830997</t>
  </si>
  <si>
    <t>Jean-Pierre Deschamps</t>
  </si>
  <si>
    <t>https://www.accessengineeringlibrary.com/content/book/9780071545815</t>
  </si>
  <si>
    <t>https://www.accessengineeringlibrary.com/content/book/9780071374330</t>
  </si>
  <si>
    <t>Liv Haselbach</t>
  </si>
  <si>
    <t>https://www.accessengineeringlibrary.com/content/book/9780071489935</t>
  </si>
  <si>
    <t>Carmine Gallo</t>
  </si>
  <si>
    <t>https://www.accessengineeringlibrary.com/content/book/9780071636087</t>
  </si>
  <si>
    <t>Jinghua Guo Ph.D.</t>
  </si>
  <si>
    <t>https://www.accessengineeringlibrary.com/content/book/9780071701266</t>
  </si>
  <si>
    <t>Lingyan Deng PhD</t>
  </si>
  <si>
    <t>https://www.accessengineeringlibrary.com/content/book/9781264715725</t>
  </si>
  <si>
    <t>Bhaskar Ghosh PhD</t>
  </si>
  <si>
    <t>https://www.accessengineeringlibrary.com/content/book/9781260473292</t>
  </si>
  <si>
    <t>https://www.accessengineeringlibrary.com/content/book/9781260467390</t>
  </si>
  <si>
    <t>Richard Swale</t>
  </si>
  <si>
    <t>https://www.accessengineeringlibrary.com/content/book/9780071826600</t>
  </si>
  <si>
    <t>https://www.accessengineeringlibrary.com/content/book/9780071489737</t>
  </si>
  <si>
    <t>https://www.accessengineeringlibrary.com/content/book/9780071489706</t>
  </si>
  <si>
    <t>Barry Tillman</t>
  </si>
  <si>
    <t>https://www.accessengineeringlibrary.com/content/book/9780071702874</t>
  </si>
  <si>
    <t>https://www.accessengineeringlibrary.com/content/book/9780071548663</t>
  </si>
  <si>
    <t>Neven Kresic</t>
  </si>
  <si>
    <t>https://www.accessengineeringlibrary.com/content/book/9780071492737</t>
  </si>
  <si>
    <t>https://www.accessengineeringlibrary.com/content/book/9780071702799</t>
  </si>
  <si>
    <t>https://www.accessengineeringlibrary.com/content/book/9780071392310</t>
  </si>
  <si>
    <t>https://www.accessengineeringlibrary.com/content/book/9781260467420</t>
  </si>
  <si>
    <t>https://www.accessengineeringlibrary.com/content/book/9781260468717</t>
  </si>
  <si>
    <t>Hsiao-Fan Wang</t>
  </si>
  <si>
    <t>https://www.accessengineeringlibrary.com/content/book/9780071622837</t>
  </si>
  <si>
    <t>https://www.accessengineeringlibrary.com/content/book/9781260461664</t>
  </si>
  <si>
    <t>Steven Haines</t>
  </si>
  <si>
    <t>https://www.accessengineeringlibrary.com/content/book/9781260468540</t>
  </si>
  <si>
    <t>Carol Ptak</t>
  </si>
  <si>
    <t>https://www.accessengineeringlibrary.com/content/book/9781264264575</t>
  </si>
  <si>
    <t>Yoshimi Ito</t>
  </si>
  <si>
    <t>Materials engineering | Industrial engineering | Civil engineering</t>
  </si>
  <si>
    <t>https://www.accessengineeringlibrary.com/content/book/9780071496605</t>
  </si>
  <si>
    <t>Computer science | Mathematics | Engineering management | Industrial engineering</t>
  </si>
  <si>
    <t>https://www.accessengineeringlibrary.com/content/book/9780071432085</t>
  </si>
  <si>
    <t>https://www.accessengineeringlibrary.com/content/book/9780071462303</t>
  </si>
  <si>
    <t>Richard Racz PE</t>
  </si>
  <si>
    <t>https://www.accessengineeringlibrary.com/content/book/9876543211111</t>
  </si>
  <si>
    <t>https://www.accessengineeringlibrary.com/content/book/9780071481205</t>
  </si>
  <si>
    <t>https://www.accessengineeringlibrary.com/content/book/9780071460446</t>
  </si>
  <si>
    <t>Gabriel Popescu</t>
  </si>
  <si>
    <t>https://www.accessengineeringlibrary.com/content/book/9780071663427</t>
  </si>
  <si>
    <t>Mehmet KanoÄźlu</t>
  </si>
  <si>
    <t>https://www.accessengineeringlibrary.com/content/book/9781265079659</t>
  </si>
  <si>
    <t>https://www.accessengineeringlibrary.com/content/book/9780070704442</t>
  </si>
  <si>
    <t>Benny Bing</t>
  </si>
  <si>
    <t>https://www.accessengineeringlibrary.com/content/book/9780071849289</t>
  </si>
  <si>
    <t>Alexander Kusko</t>
  </si>
  <si>
    <t>https://www.accessengineeringlibrary.com/content/book/9780071470759</t>
  </si>
  <si>
    <t>Surinder Parkash</t>
  </si>
  <si>
    <t>https://www.accessengineeringlibrary.com/content/book/9780071632409</t>
  </si>
  <si>
    <t>Stan Gibilisco</t>
  </si>
  <si>
    <t>https://www.accessengineeringlibrary.com/content/book/9781264441389</t>
  </si>
  <si>
    <t>https://www.accessengineeringlibrary.com/content/book/9780070267145</t>
  </si>
  <si>
    <t>JirĂ­ Klemes</t>
  </si>
  <si>
    <t>https://www.accessengineeringlibrary.com/content/book/9780071605540</t>
  </si>
  <si>
    <t>https://www.accessengineeringlibrary.com/content/book/9780071457873</t>
  </si>
  <si>
    <t>https://www.accessengineeringlibrary.com/content/book/9780071454087</t>
  </si>
  <si>
    <t>Ronald Sterkenburg</t>
  </si>
  <si>
    <t>https://www.accessengineeringlibrary.com/content/book/9781260468922</t>
  </si>
  <si>
    <t>https://www.accessengineeringlibrary.com/content/book/9780071460682</t>
  </si>
  <si>
    <t>https://www.accessengineeringlibrary.com/content/book/9781260469707</t>
  </si>
  <si>
    <t>https://www.accessengineeringlibrary.com/content/book/9781264257355</t>
  </si>
  <si>
    <t>https://www.accessengineeringlibrary.com/content/book/9780071622875</t>
  </si>
  <si>
    <t>Mechanical engineering | Electrical engineering | Energy engineering</t>
  </si>
  <si>
    <t>https://www.accessengineeringlibrary.com/content/book/9780071475228</t>
  </si>
  <si>
    <t>Anthony Lawrenson PhD</t>
  </si>
  <si>
    <t>https://www.accessengineeringlibrary.com/content/book/9781264278701</t>
  </si>
  <si>
    <t>https://www.accessengineeringlibrary.com/content/book/9781260462845</t>
  </si>
  <si>
    <t>Elliott Mendelson Ph.D.</t>
  </si>
  <si>
    <t>https://www.accessengineeringlibrary.com/content/book/9781264258338</t>
  </si>
  <si>
    <t>https://www.accessengineeringlibrary.com/content/book/9780071475839</t>
  </si>
  <si>
    <t>Ivana Suchy</t>
  </si>
  <si>
    <t>https://www.accessengineeringlibrary.com/content/book/9780071462716</t>
  </si>
  <si>
    <t>https://www.accessengineeringlibrary.com/content/book/9780071719513</t>
  </si>
  <si>
    <t>https://www.accessengineeringlibrary.com/content/book/9780071737098</t>
  </si>
  <si>
    <t>https://www.accessengineeringlibrary.com/content/book/9781265012816</t>
  </si>
  <si>
    <t>https://www.accessengineeringlibrary.com/content/book/9781260461565</t>
  </si>
  <si>
    <t>Miroslav Kubat</t>
  </si>
  <si>
    <t>https://www.accessengineeringlibrary.com/content/book/9781260467789</t>
  </si>
  <si>
    <t>https://www.accessengineeringlibrary.com/content/book/9780071825160</t>
  </si>
  <si>
    <t>https://www.accessengineeringlibrary.com/content/book/9780071614924</t>
  </si>
  <si>
    <t>Bioengineering | Sciences</t>
  </si>
  <si>
    <t>https://www.accessengineeringlibrary.com/content/book/9780071472272</t>
  </si>
  <si>
    <t>Ryszard Petela</t>
  </si>
  <si>
    <t>https://www.accessengineeringlibrary.com/content/book/9780071639620</t>
  </si>
  <si>
    <t>Rana Salman MBA PhD</t>
  </si>
  <si>
    <t>https://www.accessengineeringlibrary.com/content/book/9781265224448</t>
  </si>
  <si>
    <t>https://www.accessengineeringlibrary.com/content/book/9780071374934</t>
  </si>
  <si>
    <t>Mohammad Najafi</t>
  </si>
  <si>
    <t>https://www.accessengineeringlibrary.com/content/book/9780071489287</t>
  </si>
  <si>
    <t>https://www.accessengineeringlibrary.com/content/book/9780071477529</t>
  </si>
  <si>
    <t>The Water Environment Federation</t>
  </si>
  <si>
    <t>https://www.accessengineeringlibrary.com/content/book/9780071737074</t>
  </si>
  <si>
    <t>https://www.accessengineeringlibrary.com/content/book/9781260132311</t>
  </si>
  <si>
    <t>Hwei P. Hsu</t>
  </si>
  <si>
    <t>Computer science | Mathematics</t>
  </si>
  <si>
    <t>https://www.accessengineeringlibrary.com/content/book/9781260453812</t>
  </si>
  <si>
    <t>Gene Zelazny</t>
  </si>
  <si>
    <t>https://www.accessengineeringlibrary.com/content/book/9780071472890</t>
  </si>
  <si>
    <t>Bioinformatics: Sequence Alignment and Markov Models</t>
  </si>
  <si>
    <t>https://www.accessengineeringlibrary.com/content/book/9780071593069</t>
  </si>
  <si>
    <t>Teach Yourself Electricity and Electronics, 5th Edition</t>
  </si>
  <si>
    <t>https://www.accessengineeringlibrary.com/content/book/9780071741354</t>
  </si>
  <si>
    <t>https://www.accessengineeringlibrary.com/content/book/9780071742320</t>
  </si>
  <si>
    <t>Makerspace | Civil engineering</t>
  </si>
  <si>
    <t>https://www.accessengineeringlibrary.com/content/book/9780071842419</t>
  </si>
  <si>
    <t>https://www.accessengineeringlibrary.com/content/book/9780071789714</t>
  </si>
  <si>
    <t>https://www.accessengineeringlibrary.com/content/book/9781260026030</t>
  </si>
  <si>
    <t>https://www.accessengineeringlibrary.com/content/book/9781260031102</t>
  </si>
  <si>
    <t>https://www.accessengineeringlibrary.com/content/book/9780071356374</t>
  </si>
  <si>
    <t>Steve Meier</t>
  </si>
  <si>
    <t>https://www.accessengineeringlibrary.com/content/book/9780071549387</t>
  </si>
  <si>
    <t>Kelly Luckett</t>
  </si>
  <si>
    <t>https://www.accessengineeringlibrary.com/content/book/9780071608800</t>
  </si>
  <si>
    <t>https://www.accessengineeringlibrary.com/content/book/9781259006050</t>
  </si>
  <si>
    <t>https://www.accessengineeringlibrary.com/content/book/9780071822503</t>
  </si>
  <si>
    <t>https://www.accessengineeringlibrary.com/content/book/9780071476898</t>
  </si>
  <si>
    <t>https://www.accessengineeringlibrary.com/content/book/9780071753074</t>
  </si>
  <si>
    <t>https://www.accessengineeringlibrary.com/content/book/9780071738606</t>
  </si>
  <si>
    <t>https://www.accessengineeringlibrary.com/content/book/9781264988778</t>
  </si>
  <si>
    <t>https://www.accessengineeringlibrary.com/content/book/9781264257829</t>
  </si>
  <si>
    <t>https://www.accessengineeringlibrary.com/content/book/9781264266654</t>
  </si>
  <si>
    <t>Giorgio Carta Ph.D.</t>
  </si>
  <si>
    <t>Chemical engineering | Mechanical engineering | Sciences | Materials engineering</t>
  </si>
  <si>
    <t>https://www.accessengineeringlibrary.com/content/book/9781264266678</t>
  </si>
  <si>
    <t>Civil engineering | Mechanical engineering | Industrial engineering</t>
  </si>
  <si>
    <t>https://www.accessengineeringlibrary.com/content/book/9780071741415</t>
  </si>
  <si>
    <t>https://www.accessengineeringlibrary.com/content/book/9780071743839</t>
  </si>
  <si>
    <t>Robert Fischer</t>
  </si>
  <si>
    <t>https://www.accessengineeringlibrary.com/content/book/9780071472487</t>
  </si>
  <si>
    <t>https://www.accessengineeringlibrary.com/content/book/9781264286270</t>
  </si>
  <si>
    <t>Behrooz Mirafzal Ph.D.</t>
  </si>
  <si>
    <t>https://www.accessengineeringlibrary.com/content/book/9781260463804</t>
  </si>
  <si>
    <t>https://www.accessengineeringlibrary.com/content/book/9781264259144</t>
  </si>
  <si>
    <t>https://www.accessengineeringlibrary.com/content/book/9780071749091</t>
  </si>
  <si>
    <t>Dr. Allen Harper</t>
  </si>
  <si>
    <t>https://www.accessengineeringlibrary.com/content/book/9781264268948</t>
  </si>
  <si>
    <t>https://www.accessengineeringlibrary.com/content/book/9780071745727</t>
  </si>
  <si>
    <t>https://www.accessengineeringlibrary.com/content/book/9780071469821</t>
  </si>
  <si>
    <t>Jie Chen Ph.D.</t>
  </si>
  <si>
    <t>https://www.accessengineeringlibrary.com/content/book/9781260464146</t>
  </si>
  <si>
    <t>Qihao Weng Ph.D.</t>
  </si>
  <si>
    <t>https://www.accessengineeringlibrary.com/content/book/9780071740111</t>
  </si>
  <si>
    <t>Ranjana Sodhi</t>
  </si>
  <si>
    <t>https://www.accessengineeringlibrary.com/content/book/9781260464504</t>
  </si>
  <si>
    <t>https://www.accessengineeringlibrary.com/content/book/9781264257584</t>
  </si>
  <si>
    <t>https://www.accessengineeringlibrary.com/content/book/9780071753661</t>
  </si>
  <si>
    <t>https://www.accessengineeringlibrary.com/content/book/9781260462883</t>
  </si>
  <si>
    <t>Satish Totey</t>
  </si>
  <si>
    <t>https://www.accessengineeringlibrary.com/content/book/9780071635721</t>
  </si>
  <si>
    <t>https://www.accessengineeringlibrary.com/content/book/9781265143992</t>
  </si>
  <si>
    <t>https://www.accessengineeringlibrary.com/content/book/9780071745925</t>
  </si>
  <si>
    <t>https://www.accessengineeringlibrary.com/content/book/9780071748759</t>
  </si>
  <si>
    <t>https://www.accessengineeringlibrary.com/content/book/9780071457675</t>
  </si>
  <si>
    <t>https://www.accessengineeringlibrary.com/content/book/9781265164676</t>
  </si>
  <si>
    <t>Trey Guinn</t>
  </si>
  <si>
    <t>https://www.accessengineeringlibrary.com/content/book/9781264278053</t>
  </si>
  <si>
    <t>Bioengineering | Sciences | Chemical engineering | Civil engineering | Mechanical engineering</t>
  </si>
  <si>
    <t>https://www.accessengineeringlibrary.com/content/book/9780071714457</t>
  </si>
  <si>
    <t>Sumeet Arora</t>
  </si>
  <si>
    <t>https://www.accessengineeringlibrary.com/content/book/9781260463095</t>
  </si>
  <si>
    <t>https://www.accessengineeringlibrary.com/content/book/9781264268443</t>
  </si>
  <si>
    <t>Imane Khalil</t>
  </si>
  <si>
    <t>https://www.accessengineeringlibrary.com/content/book/9781264274949</t>
  </si>
  <si>
    <t>Andrew Zacharakis Ph.D.</t>
  </si>
  <si>
    <t>https://www.accessengineeringlibrary.com/content/book/9780071748834</t>
  </si>
  <si>
    <t>https://www.accessengineeringlibrary.com/content/book/9780071623261</t>
  </si>
  <si>
    <t>Meryl Runion</t>
  </si>
  <si>
    <t>https://www.accessengineeringlibrary.com/content/book/9780071742313</t>
  </si>
  <si>
    <t>Nalco Company</t>
  </si>
  <si>
    <t>https://www.accessengineeringlibrary.com/content/book/9780071743006</t>
  </si>
  <si>
    <t>David Willoughby</t>
  </si>
  <si>
    <t>https://www.accessengineeringlibrary.com/content/book/9780071454735</t>
  </si>
  <si>
    <t>https://www.accessengineeringlibrary.com/content/book/9781260461763</t>
  </si>
  <si>
    <t>https://www.accessengineeringlibrary.com/content/book/9780071742498</t>
  </si>
  <si>
    <t>Oren Klaff</t>
  </si>
  <si>
    <t>https://www.accessengineeringlibrary.com/content/book/9780071752855</t>
  </si>
  <si>
    <t>https://www.accessengineeringlibrary.com/content/book/9780071370080</t>
  </si>
  <si>
    <t>https://www.accessengineeringlibrary.com/content/book/9780071485630</t>
  </si>
  <si>
    <t>Jeff Hanson</t>
  </si>
  <si>
    <t>https://www.accessengineeringlibrary.com/content/book/9781264278305</t>
  </si>
  <si>
    <t>https://www.accessengineeringlibrary.com/content/book/9780071819800</t>
  </si>
  <si>
    <t>Schaum's Outline of Organic Chemistry</t>
  </si>
  <si>
    <t>Herbert Meislich</t>
  </si>
  <si>
    <t>https://www.accessengineeringlibrary.com/content/book/9780071811118</t>
  </si>
  <si>
    <t>Siamak Najarian</t>
  </si>
  <si>
    <t>https://www.accessengineeringlibrary.com/content/book/9780071768962</t>
  </si>
  <si>
    <t>Introduction to the Finite Element Method, Third Edition</t>
  </si>
  <si>
    <t>J. N. Reddy</t>
  </si>
  <si>
    <t>https://www.accessengineeringlibrary.com/content/book/9780072466850</t>
  </si>
  <si>
    <t>https://www.accessengineeringlibrary.com/content/book/9781259587696</t>
  </si>
  <si>
    <t>https://www.accessengineeringlibrary.com/content/book/9781260011968</t>
  </si>
  <si>
    <t>Aircraft Maintenance &amp; Repair, Seventh Edition</t>
  </si>
  <si>
    <t>Michael J. Kroes</t>
  </si>
  <si>
    <t>https://www.accessengineeringlibrary.com/content/book/9780071801508</t>
  </si>
  <si>
    <t>https://www.accessengineeringlibrary.com/content/book/9780071622479</t>
  </si>
  <si>
    <t>Lal Jayamaha Dr.</t>
  </si>
  <si>
    <t>https://www.accessengineeringlibrary.com/content/book/9781259589782</t>
  </si>
  <si>
    <t>https://www.accessengineeringlibrary.com/content/book/9781260118025</t>
  </si>
  <si>
    <t>https://www.accessengineeringlibrary.com/content/book/9781259641633</t>
  </si>
  <si>
    <t>Innovating Lean Six Sigma: A Strategic Guide to Deploying the World's Most Effective Business Improvement Process</t>
  </si>
  <si>
    <t>Kimberly Watson-Hemphill</t>
  </si>
  <si>
    <t>https://www.accessengineeringlibrary.com/content/book/9781259584404</t>
  </si>
  <si>
    <t>https://www.accessengineeringlibrary.com/content/book/9781260116892</t>
  </si>
  <si>
    <t>ATM NETWORKS: Concepts and Protocols, Second Edition</t>
  </si>
  <si>
    <t>https://www.accessengineeringlibrary.com/content/book/9780070583535</t>
  </si>
  <si>
    <t>Fundamentals of Microsystems Packaging</t>
  </si>
  <si>
    <t>https://www.accessengineeringlibrary.com/content/book/9780071371698</t>
  </si>
  <si>
    <t>https://www.accessengineeringlibrary.com/content/book/9780071824507</t>
  </si>
  <si>
    <t>Robot Builder's Bonanza, Fourth Edition</t>
  </si>
  <si>
    <t>https://www.accessengineeringlibrary.com/content/book/9780071750363</t>
  </si>
  <si>
    <t>Handbook of Corrosion Engineering, Second Edition</t>
  </si>
  <si>
    <t>Pierre R. Roberge, Ph.D.</t>
  </si>
  <si>
    <t>https://www.accessengineeringlibrary.com/content/book/9780071750370</t>
  </si>
  <si>
    <t>https://www.accessengineeringlibrary.com/content/book/9781260132274</t>
  </si>
  <si>
    <t>Slobodan Petrovic</t>
  </si>
  <si>
    <t>https://www.accessengineeringlibrary.com/content/book/9781260012002</t>
  </si>
  <si>
    <t>https://www.accessengineeringlibrary.com/content/book/9781260108804</t>
  </si>
  <si>
    <t>Bridge Engineering, Second edition</t>
  </si>
  <si>
    <t>S Ponnuswamy</t>
  </si>
  <si>
    <t>https://www.accessengineeringlibrary.com/content/book/9780070656956</t>
  </si>
  <si>
    <t>Robert A. Corbitt</t>
  </si>
  <si>
    <t>https://www.accessengineeringlibrary.com/content/book/9780070131606</t>
  </si>
  <si>
    <t>Mohammad Najafi Ph.D. P.E.</t>
  </si>
  <si>
    <t>https://www.accessengineeringlibrary.com/content/book/9780071422666</t>
  </si>
  <si>
    <t>Douglas L. Perry</t>
  </si>
  <si>
    <t>https://www.accessengineeringlibrary.com/content/book/9780071400701</t>
  </si>
  <si>
    <t>https://www.accessengineeringlibrary.com/content/book/9781259587429</t>
  </si>
  <si>
    <t>https://www.accessengineeringlibrary.com/content/book/9781260453836</t>
  </si>
  <si>
    <t>Mustafa Mahamid Ph.D. S.E. P.E. P.Eng. F.SEI F.ASCE F.ACI</t>
  </si>
  <si>
    <t>https://www.accessengineeringlibrary.com/content/book/9781260115987</t>
  </si>
  <si>
    <t>https://www.accessengineeringlibrary.com/content/book/9781260456134</t>
  </si>
  <si>
    <t>Basics of CMOS Cell Design</t>
  </si>
  <si>
    <t>Etienne Sicard</t>
  </si>
  <si>
    <t>https://www.accessengineeringlibrary.com/content/book/9780070599338</t>
  </si>
  <si>
    <t>https://www.accessengineeringlibrary.com/content/book/9780071770583</t>
  </si>
  <si>
    <t>Schaum's Outline of Trigonometry, Fifth Edition</t>
  </si>
  <si>
    <t>https://www.accessengineeringlibrary.com/content/book/9780071795357</t>
  </si>
  <si>
    <t>Printed Circuit Assembly Design</t>
  </si>
  <si>
    <t>Leonard Marks</t>
  </si>
  <si>
    <t>https://www.accessengineeringlibrary.com/content/book/9780070411074</t>
  </si>
  <si>
    <t>https://www.accessengineeringlibrary.com/content/book/9781259641756</t>
  </si>
  <si>
    <t>Optical Communications Rules of Thumb</t>
  </si>
  <si>
    <t>John Lester Miller</t>
  </si>
  <si>
    <t>https://www.accessengineeringlibrary.com/content/book/9780071387781</t>
  </si>
  <si>
    <t>Schaum's Outline of Biology, Fourth Edition</t>
  </si>
  <si>
    <t>George H. Fried</t>
  </si>
  <si>
    <t>https://www.accessengineeringlibrary.com/content/book/9780071811309</t>
  </si>
  <si>
    <t>https://www.accessengineeringlibrary.com/content/book/9780071799966</t>
  </si>
  <si>
    <t>Cem Ăśnsalan Ph.D.</t>
  </si>
  <si>
    <t>https://www.accessengineeringlibrary.com/content/book/9781259837906</t>
  </si>
  <si>
    <t>American Electricians' Handbook, Sixteenth Edition</t>
  </si>
  <si>
    <t>Terrell Croft</t>
  </si>
  <si>
    <t>https://www.accessengineeringlibrary.com/content/book/9780071798808</t>
  </si>
  <si>
    <t>https://www.accessengineeringlibrary.com/content/book/9781259063732</t>
  </si>
  <si>
    <t>Sanjay Srinivasan Ph.D.</t>
  </si>
  <si>
    <t>https://www.accessengineeringlibrary.com/content/book/9781259834295</t>
  </si>
  <si>
    <t>Sidney O. Dewberry</t>
  </si>
  <si>
    <t>https://www.accessengineeringlibrary.com/content/book/9780071494373</t>
  </si>
  <si>
    <t>https://www.accessengineeringlibrary.com/content/book/9780071755658</t>
  </si>
  <si>
    <t>Jules Pieri</t>
  </si>
  <si>
    <t>https://www.accessengineeringlibrary.com/content/book/9781260135855</t>
  </si>
  <si>
    <t>https://www.accessengineeringlibrary.com/content/book/9781260459098</t>
  </si>
  <si>
    <t>Ulrich L. Rohde</t>
  </si>
  <si>
    <t>https://www.accessengineeringlibrary.com/content/book/9780071361217</t>
  </si>
  <si>
    <t>Lani Arrendondo</t>
  </si>
  <si>
    <t>https://www.accessengineeringlibrary.com/content/book/9780071364294</t>
  </si>
  <si>
    <t>Perry's Chemical Engineers' Handbook, 9th Edition</t>
  </si>
  <si>
    <t>https://www.accessengineeringlibrary.com/content/book/9780071834087</t>
  </si>
  <si>
    <t>MASAAKI IMAI</t>
  </si>
  <si>
    <t>https://www.accessengineeringlibrary.com/content/book/9781260143836</t>
  </si>
  <si>
    <t>Rex Miller</t>
  </si>
  <si>
    <t>https://www.accessengineeringlibrary.com/content/book/9781260116007</t>
  </si>
  <si>
    <t>https://www.accessengineeringlibrary.com/content/book/9780071430371</t>
  </si>
  <si>
    <t>https://www.accessengineeringlibrary.com/content/book/9780071472937</t>
  </si>
  <si>
    <t>Maintenance Planning and Scheduling Handbook, Third Edition</t>
  </si>
  <si>
    <t>Richard D. Palmer</t>
  </si>
  <si>
    <t>https://www.accessengineeringlibrary.com/content/book/9780071784115</t>
  </si>
  <si>
    <t>https://www.accessengineeringlibrary.com/content/book/9780071796095</t>
  </si>
  <si>
    <t>https://www.accessengineeringlibrary.com/content/book/9780071772877</t>
  </si>
  <si>
    <t>Jack Moehle Ph.D.</t>
  </si>
  <si>
    <t>https://www.accessengineeringlibrary.com/content/book/9780071839440</t>
  </si>
  <si>
    <t>Randall A. Snyder</t>
  </si>
  <si>
    <t>https://www.accessengineeringlibrary.com/content/book/9780071352314</t>
  </si>
  <si>
    <t>John Baichtal</t>
  </si>
  <si>
    <t>https://www.accessengineeringlibrary.com/content/book/9781259861833</t>
  </si>
  <si>
    <t>https://www.accessengineeringlibrary.com/content/book/9780071370455</t>
  </si>
  <si>
    <t>Commercial Aviation Safety, Fifth Edition</t>
  </si>
  <si>
    <t>Clarence C. Rodrigues, Ph.D., PE, CSP, CPE</t>
  </si>
  <si>
    <t>https://www.accessengineeringlibrary.com/content/book/9780071763059</t>
  </si>
  <si>
    <t>https://www.accessengineeringlibrary.com/content/book/9780071834971</t>
  </si>
  <si>
    <t>William C. Y. Lee</t>
  </si>
  <si>
    <t>https://www.accessengineeringlibrary.com/content/book/9780070371033</t>
  </si>
  <si>
    <t>https://www.accessengineeringlibrary.com/content/book/9780071546898</t>
  </si>
  <si>
    <t>Granville Toogood</t>
  </si>
  <si>
    <t>https://www.accessengineeringlibrary.com/content/book/9780071743266</t>
  </si>
  <si>
    <t>Practical Electronics for Inventors, Third Edition</t>
  </si>
  <si>
    <t>https://www.accessengineeringlibrary.com/content/book/9780071771337</t>
  </si>
  <si>
    <t>https://www.accessengineeringlibrary.com/content/book/9780071841047</t>
  </si>
  <si>
    <t>Rick Moore</t>
  </si>
  <si>
    <t>https://www.accessengineeringlibrary.com/content/book/9781259585043</t>
  </si>
  <si>
    <t>https://www.accessengineeringlibrary.com/content/book/9781259643743</t>
  </si>
  <si>
    <t>https://www.accessengineeringlibrary.com/content/book/9780071436861</t>
  </si>
  <si>
    <t>Cotter W. Sayre</t>
  </si>
  <si>
    <t>https://www.accessengineeringlibrary.com/content/book/9780071544528</t>
  </si>
  <si>
    <t>Steel Structures Design: ASD/LRFD</t>
  </si>
  <si>
    <t>Alan Williams, Ph.D., S.E., F.I.C.E., C. Eng.</t>
  </si>
  <si>
    <t>https://www.accessengineeringlibrary.com/content/book/9780071638371</t>
  </si>
  <si>
    <t>https://www.accessengineeringlibrary.com/content/book/9780071816717</t>
  </si>
  <si>
    <t>Water and Wastewater Engineering: Design Principles and Practice</t>
  </si>
  <si>
    <t>https://www.accessengineeringlibrary.com/content/book/9780071713849</t>
  </si>
  <si>
    <t>Hydrogeology Field Manual, Second Edition</t>
  </si>
  <si>
    <t>Willis Weight</t>
  </si>
  <si>
    <t>https://www.accessengineeringlibrary.com/content/book/9780071477499</t>
  </si>
  <si>
    <t>https://www.accessengineeringlibrary.com/content/book/9781259584152</t>
  </si>
  <si>
    <t>Rima Taher Ph.D. P.E.</t>
  </si>
  <si>
    <t>https://www.accessengineeringlibrary.com/content/book/9781259860805</t>
  </si>
  <si>
    <t>https://www.accessengineeringlibrary.com/content/book/9781260128673</t>
  </si>
  <si>
    <t>https://www.accessengineeringlibrary.com/content/book/9781260458916</t>
  </si>
  <si>
    <t>Textbook of Nanoscience and Nanotechnology</t>
  </si>
  <si>
    <t>https://www.accessengineeringlibrary.com/content/book/9781259007323</t>
  </si>
  <si>
    <t>Mahi Sahoo Ph.D.</t>
  </si>
  <si>
    <t>https://www.accessengineeringlibrary.com/content/book/9780071789752</t>
  </si>
  <si>
    <t>https://www.accessengineeringlibrary.com/content/book/9780071604710</t>
  </si>
  <si>
    <t>https://www.accessengineeringlibrary.com/content/book/9780071798327</t>
  </si>
  <si>
    <t>https://www.accessengineeringlibrary.com/content/book/9781260143324</t>
  </si>
  <si>
    <t>https://www.accessengineeringlibrary.com/content/book/9780071831451</t>
  </si>
  <si>
    <t>https://www.accessengineeringlibrary.com/content/book/9781260459241</t>
  </si>
  <si>
    <t>Standard Handbook of Video and Television Engineering, Fourth Edition</t>
  </si>
  <si>
    <t>https://www.accessengineeringlibrary.com/content/book/9780071411806</t>
  </si>
  <si>
    <t>Engineering Project Management for the Global High-Technology Industry</t>
  </si>
  <si>
    <t>Sammy G. Shina, Ph.D., P.E.</t>
  </si>
  <si>
    <t>https://www.accessengineeringlibrary.com/content/book/9780071815369</t>
  </si>
  <si>
    <t>https://www.accessengineeringlibrary.com/content/book/9781260115925</t>
  </si>
  <si>
    <t>Lange's Handbook of Chemistry, Sixteenth Edition</t>
  </si>
  <si>
    <t>James Speight, Ph.D.</t>
  </si>
  <si>
    <t>https://www.accessengineeringlibrary.com/content/book/9780071432207</t>
  </si>
  <si>
    <t>Travis Russell</t>
  </si>
  <si>
    <t>https://www.accessengineeringlibrary.com/content/book/9780071468794</t>
  </si>
  <si>
    <t>Schaum's Outline of Electric Circuits, Sixth Edition</t>
  </si>
  <si>
    <t>Mahmood Nahvi, PhD</t>
  </si>
  <si>
    <t>https://www.accessengineeringlibrary.com/content/book/9780071830454</t>
  </si>
  <si>
    <t>https://www.accessengineeringlibrary.com/content/book/9780071785143</t>
  </si>
  <si>
    <t>Lineman's and Cableman's Handbook, Twelfth Edition</t>
  </si>
  <si>
    <t>Thomas M. Shoemaker</t>
  </si>
  <si>
    <t>https://www.accessengineeringlibrary.com/content/book/9780071742580</t>
  </si>
  <si>
    <t>https://www.accessengineeringlibrary.com/content/book/9780071663588</t>
  </si>
  <si>
    <t>https://www.accessengineeringlibrary.com/content/book/9781259644900</t>
  </si>
  <si>
    <t>Managing Teams</t>
  </si>
  <si>
    <t>Larry Holpp</t>
  </si>
  <si>
    <t>https://www.accessengineeringlibrary.com/content/book/9780070718654</t>
  </si>
  <si>
    <t>https://www.accessengineeringlibrary.com/content/book/9780071753791</t>
  </si>
  <si>
    <t>https://www.accessengineeringlibrary.com/content/book/9781260457919</t>
  </si>
  <si>
    <t>Marie Perruchet</t>
  </si>
  <si>
    <t>https://www.accessengineeringlibrary.com/content/book/9780071837590</t>
  </si>
  <si>
    <t>https://www.accessengineeringlibrary.com/content/book/9781260135237</t>
  </si>
  <si>
    <t>Shoshanah Cohen</t>
  </si>
  <si>
    <t>https://www.accessengineeringlibrary.com/content/book/9780071813082</t>
  </si>
  <si>
    <t>Microvias: For Low Cost, High Density Interconnects</t>
  </si>
  <si>
    <t>https://www.accessengineeringlibrary.com/content/book/9780071363273</t>
  </si>
  <si>
    <t>William Sarni</t>
  </si>
  <si>
    <t>https://www.accessengineeringlibrary.com/content/book/9780071609098</t>
  </si>
  <si>
    <t>Standard Aircraft Handbook for Mechanics and Technicians, Seventh Edition</t>
  </si>
  <si>
    <t>Larry Reithmaier</t>
  </si>
  <si>
    <t>https://www.accessengineeringlibrary.com/content/book/9780071826792</t>
  </si>
  <si>
    <t>Civil Engineering All-In-One PE Exam Guide: Breadth and Depth, Second Edition</t>
  </si>
  <si>
    <t>Indranil Goswami</t>
  </si>
  <si>
    <t>https://www.accessengineeringlibrary.com/content/book/9780071787727</t>
  </si>
  <si>
    <t>https://www.accessengineeringlibrary.com/content/book/9780071755672</t>
  </si>
  <si>
    <t>Estimating Software Costs: Bringing Realism to Estimating, Second Edition</t>
  </si>
  <si>
    <t>Capers Jones</t>
  </si>
  <si>
    <t>https://www.accessengineeringlibrary.com/content/book/9780071483001</t>
  </si>
  <si>
    <t>Nanoscale CMOS VLSI Circuits: Design for Manufacturability</t>
  </si>
  <si>
    <t>Sandip Kundu</t>
  </si>
  <si>
    <t>https://www.accessengineeringlibrary.com/content/book/9780071635196</t>
  </si>
  <si>
    <t>https://www.accessengineeringlibrary.com/content/book/9781260456523</t>
  </si>
  <si>
    <t>Alessandro Brambilla</t>
  </si>
  <si>
    <t>https://www.accessengineeringlibrary.com/content/book/9780071820684</t>
  </si>
  <si>
    <t>https://www.accessengineeringlibrary.com/content/book/9781259643835</t>
  </si>
  <si>
    <t>https://www.accessengineeringlibrary.com/content/book/9781259859786</t>
  </si>
  <si>
    <t>https://www.accessengineeringlibrary.com/content/book/9780071543675</t>
  </si>
  <si>
    <t>https://www.accessengineeringlibrary.com/content/book/9780071767972</t>
  </si>
  <si>
    <t>https://www.accessengineeringlibrary.com/content/book/9780071835466</t>
  </si>
  <si>
    <t>Feng Pan</t>
  </si>
  <si>
    <t>https://www.accessengineeringlibrary.com/content/book/9780071836777</t>
  </si>
  <si>
    <t>Electrical engineering | Mechanical engineering | Industrial engineering</t>
  </si>
  <si>
    <t>https://www.accessengineeringlibrary.com/content/book/9781259644344</t>
  </si>
  <si>
    <t>https://www.accessengineeringlibrary.com/content/book/9781260120783</t>
  </si>
  <si>
    <t>Airport Ground Navigation Systems</t>
  </si>
  <si>
    <t>Dr. Arjun Singh</t>
  </si>
  <si>
    <t>https://www.accessengineeringlibrary.com/content/book/9780070704459</t>
  </si>
  <si>
    <t>https://www.accessengineeringlibrary.com/content/book/9780071775847</t>
  </si>
  <si>
    <t>https://www.accessengineeringlibrary.com/content/book/9780071799928</t>
  </si>
  <si>
    <t>https://www.accessengineeringlibrary.com/content/book/9780071819909</t>
  </si>
  <si>
    <t>Marks' Standard Handbook for Mechanical Engineers, 12th Edition</t>
  </si>
  <si>
    <t>https://www.accessengineeringlibrary.com/content/book/9781259588501</t>
  </si>
  <si>
    <t>Jonathan T. Ricketts</t>
  </si>
  <si>
    <t>https://www.accessengineeringlibrary.com/content/book/9780071364737</t>
  </si>
  <si>
    <t>Analog IC Design with Low-Dropout Regulators (LDOs)</t>
  </si>
  <si>
    <t>Gabriel Alfonso RincĂłn-Mora</t>
  </si>
  <si>
    <t>https://www.accessengineeringlibrary.com/content/book/9780071608930</t>
  </si>
  <si>
    <t>How To Implement Lean Manufacturing</t>
  </si>
  <si>
    <t>Lonnie Wilson</t>
  </si>
  <si>
    <t>https://www.accessengineeringlibrary.com/content/book/9780071625074</t>
  </si>
  <si>
    <t>Surya Santoso Ph.D.</t>
  </si>
  <si>
    <t>https://www.accessengineeringlibrary.com/content/book/9780071761550</t>
  </si>
  <si>
    <t>Baha Abulnaga P.E.</t>
  </si>
  <si>
    <t>https://www.accessengineeringlibrary.com/content/book/9781260452792</t>
  </si>
  <si>
    <t>https://www.accessengineeringlibrary.com/content/book/9781260116106</t>
  </si>
  <si>
    <t>https://www.accessengineeringlibrary.com/content/book/9781260116458</t>
  </si>
  <si>
    <t>Ian Cinnamon</t>
  </si>
  <si>
    <t>https://www.accessengineeringlibrary.com/content/book/9781259861468</t>
  </si>
  <si>
    <t>Gokulakrishnan Srinivasan</t>
  </si>
  <si>
    <t>https://www.accessengineeringlibrary.com/content/book/9780071596992</t>
  </si>
  <si>
    <t>Paul Myerson</t>
  </si>
  <si>
    <t>https://www.accessengineeringlibrary.com/content/book/9780071766265</t>
  </si>
  <si>
    <t>Walter Martin Hosack</t>
  </si>
  <si>
    <t>https://www.accessengineeringlibrary.com/content/book/9780071603218</t>
  </si>
  <si>
    <t>Wireless Security: Models, Threats, and Solutions</t>
  </si>
  <si>
    <t>Randall K. Nichols</t>
  </si>
  <si>
    <t>https://www.accessengineeringlibrary.com/content/book/9780071380386</t>
  </si>
  <si>
    <t>Masonry Structural Design</t>
  </si>
  <si>
    <t>Richard E. Klingner</t>
  </si>
  <si>
    <t>https://www.accessengineeringlibrary.com/content/book/9780071638302</t>
  </si>
  <si>
    <t>Supply Chain Strategy: The Logistics of Supply Chain Management</t>
  </si>
  <si>
    <t>Edward Frazelle, Ph.D.</t>
  </si>
  <si>
    <t>https://www.accessengineeringlibrary.com/content/book/9780071375993</t>
  </si>
  <si>
    <t>Fundamentals of Communications Systems</t>
  </si>
  <si>
    <t>Michael P. Fitz</t>
  </si>
  <si>
    <t>https://www.accessengineeringlibrary.com/content/book/9780071482806</t>
  </si>
  <si>
    <t>https://www.accessengineeringlibrary.com/content/book/9781259641039</t>
  </si>
  <si>
    <t>https://www.accessengineeringlibrary.com/content/book/9780071772266</t>
  </si>
  <si>
    <t>https://www.accessengineeringlibrary.com/content/book/9781259587450</t>
  </si>
  <si>
    <t>Marc Mancini Ph.D.</t>
  </si>
  <si>
    <t>https://www.accessengineeringlibrary.com/content/book/9780071406109</t>
  </si>
  <si>
    <t>Stanley Yokell</t>
  </si>
  <si>
    <t>https://www.accessengineeringlibrary.com/content/book/9780071812894</t>
  </si>
  <si>
    <t>Environmental Nanotechnology: Applications and Impacts of Nanomaterials</t>
  </si>
  <si>
    <t>https://www.accessengineeringlibrary.com/content/book/9780071477505</t>
  </si>
  <si>
    <t>Hacking Electronics: An Illustrated DIY Guide for Makers and Hobbyists</t>
  </si>
  <si>
    <t>https://www.accessengineeringlibrary.com/content/book/9780071802369</t>
  </si>
  <si>
    <t>Programming Arduino: Getting Started with Sketches</t>
  </si>
  <si>
    <t>https://www.accessengineeringlibrary.com/content/book/9780071784221</t>
  </si>
  <si>
    <t>https://www.accessengineeringlibrary.com/content/book/9781260019193</t>
  </si>
  <si>
    <t>https://www.accessengineeringlibrary.com/content/book/9781260457247</t>
  </si>
  <si>
    <t>Weidong Xiao</t>
  </si>
  <si>
    <t>https://www.accessengineeringlibrary.com/content/book/9781260456974</t>
  </si>
  <si>
    <t>Manufacturing Engineering Handbook</t>
  </si>
  <si>
    <t>Hwaiyu Geng</t>
  </si>
  <si>
    <t>https://www.accessengineeringlibrary.com/content/book/9780071398251</t>
  </si>
  <si>
    <t>Programmable Microcontrollers with Applications: MSP430 LaunchPad with CCS and Grace</t>
  </si>
  <si>
    <t>https://www.accessengineeringlibrary.com/content/book/9780071830034</t>
  </si>
  <si>
    <t>https://www.accessengineeringlibrary.com/content/book/9781259585173</t>
  </si>
  <si>
    <t>https://www.accessengineeringlibrary.com/content/book/9780071626231</t>
  </si>
  <si>
    <t>https://www.accessengineeringlibrary.com/content/book/9781259641824</t>
  </si>
  <si>
    <t>Nalco Water</t>
  </si>
  <si>
    <t>https://www.accessengineeringlibrary.com/content/book/9781259860973</t>
  </si>
  <si>
    <t>https://www.accessengineeringlibrary.com/content/book/9780071792318</t>
  </si>
  <si>
    <t>Standard Handbook for Aeronautical and Astronautical Engineers</t>
  </si>
  <si>
    <t>Mark Davies</t>
  </si>
  <si>
    <t>https://www.accessengineeringlibrary.com/content/book/9780071362290</t>
  </si>
  <si>
    <t>https://www.accessengineeringlibrary.com/content/book/9781260456424</t>
  </si>
  <si>
    <t>Dewberry</t>
  </si>
  <si>
    <t>https://www.accessengineeringlibrary.com/content/book/9781260440775</t>
  </si>
  <si>
    <t>UÄźur Ă‡ilingiroÄźlu</t>
  </si>
  <si>
    <t>https://www.accessengineeringlibrary.com/content/book/9781260441451</t>
  </si>
  <si>
    <t>Chris Kimball SE MCP CBO</t>
  </si>
  <si>
    <t>https://www.accessengineeringlibrary.com/content/book/9781260134780</t>
  </si>
  <si>
    <t>Donald E. Breyer</t>
  </si>
  <si>
    <t>https://www.accessengineeringlibrary.com/content/book/9780071455398</t>
  </si>
  <si>
    <t>https://www.accessengineeringlibrary.com/content/book/9781259860225</t>
  </si>
  <si>
    <t>https://www.accessengineeringlibrary.com/content/book/9780071360975</t>
  </si>
  <si>
    <t>Say It With Charts: The Executive's Guide to Visual Communication, Fourth Edition</t>
  </si>
  <si>
    <t>https://www.accessengineeringlibrary.com/content/book/9780071369978</t>
  </si>
  <si>
    <t>E. Nelson</t>
  </si>
  <si>
    <t>https://www.accessengineeringlibrary.com/content/book/9780071713603</t>
  </si>
  <si>
    <t>Ronald Quan</t>
  </si>
  <si>
    <t>https://www.accessengineeringlibrary.com/content/book/9780071799706</t>
  </si>
  <si>
    <t>https://www.accessengineeringlibrary.com/content/book/9781260135282</t>
  </si>
  <si>
    <t>Rowland Hayler</t>
  </si>
  <si>
    <t>https://www.accessengineeringlibrary.com/content/book/9780071453417</t>
  </si>
  <si>
    <t>Yeshaiahu Fainman</t>
  </si>
  <si>
    <t>https://www.accessengineeringlibrary.com/content/book/9780071601566</t>
  </si>
  <si>
    <t>https://www.accessengineeringlibrary.com/content/book/9780071498388</t>
  </si>
  <si>
    <t>Standard Handbook for Electrical Engineers, Sixteenth Edition</t>
  </si>
  <si>
    <t>https://www.accessengineeringlibrary.com/content/book/9780071762328</t>
  </si>
  <si>
    <t>24 Deadly Sins of Software Security: Programming Flaws and How to Fix Them</t>
  </si>
  <si>
    <t>Michael Howard</t>
  </si>
  <si>
    <t>https://www.accessengineeringlibrary.com/content/book/9780071626750</t>
  </si>
  <si>
    <t>Manufacturing Planning and Control for Supply Chain Management: APICS/CPIM Certification Edition</t>
  </si>
  <si>
    <t>F. Robert Jacobs</t>
  </si>
  <si>
    <t>https://www.accessengineeringlibrary.com/content/book/9780071750318</t>
  </si>
  <si>
    <t>https://www.accessengineeringlibrary.com/content/book/9781259585098</t>
  </si>
  <si>
    <t>Schaum's Outline of College Algebra, 4th Edition</t>
  </si>
  <si>
    <t>Murray R. Spiegel, Ph.D.</t>
  </si>
  <si>
    <t>https://www.accessengineeringlibrary.com/content/book/9780071821810</t>
  </si>
  <si>
    <t>Schaum's Outline of Electromagnetics, 4th Edition</t>
  </si>
  <si>
    <t>Joseph A. Edminister</t>
  </si>
  <si>
    <t>https://www.accessengineeringlibrary.com/content/book/9780071831475</t>
  </si>
  <si>
    <t>Seetharamulu Kaveti</t>
  </si>
  <si>
    <t>Civil engineering | Mechanical engineering | Materials engineering</t>
  </si>
  <si>
    <t>https://www.accessengineeringlibrary.com/content/book/9780071835855</t>
  </si>
  <si>
    <t>https://www.accessengineeringlibrary.com/content/book/9781260116342</t>
  </si>
  <si>
    <t>https://www.accessengineeringlibrary.com/content/book/9780070411029</t>
  </si>
  <si>
    <t>Printed Circuits Handbook, Sixth Edition</t>
  </si>
  <si>
    <t>Clyde F. Coombs, Jr.</t>
  </si>
  <si>
    <t>https://www.accessengineeringlibrary.com/content/book/9780071467346</t>
  </si>
  <si>
    <t>https://www.accessengineeringlibrary.com/content/book/9781260136265</t>
  </si>
  <si>
    <t>https://www.accessengineeringlibrary.com/content/book/9780071432412</t>
  </si>
  <si>
    <t>https://www.accessengineeringlibrary.com/content/book/9780071799485</t>
  </si>
  <si>
    <t>Rhett Power</t>
  </si>
  <si>
    <t>https://www.accessengineeringlibrary.com/content/book/9781259859175</t>
  </si>
  <si>
    <t>Stephen Key</t>
  </si>
  <si>
    <t>https://www.accessengineeringlibrary.com/content/book/9781259589676</t>
  </si>
  <si>
    <t>https://www.accessengineeringlibrary.com/content/book/9780071797870</t>
  </si>
  <si>
    <t>Lindley R. Higgins</t>
  </si>
  <si>
    <t>https://www.accessengineeringlibrary.com/content/book/9780071546461</t>
  </si>
  <si>
    <t>Airport Planning and Management, Sixth Edition</t>
  </si>
  <si>
    <t>Seth B. Young, Ph.D.</t>
  </si>
  <si>
    <t>https://www.accessengineeringlibrary.com/content/book/9780071750240</t>
  </si>
  <si>
    <t>https://www.accessengineeringlibrary.com/content/book/9780071761123</t>
  </si>
  <si>
    <t>Barnett Rich PhD</t>
  </si>
  <si>
    <t>Geometry</t>
  </si>
  <si>
    <t>https://www.accessengineeringlibrary.com/content/book/9781260010572</t>
  </si>
  <si>
    <t>https://www.accessengineeringlibrary.com/content/book/9781260440447</t>
  </si>
  <si>
    <t>https://www.accessengineeringlibrary.com/content/book/9780071612883</t>
  </si>
  <si>
    <t>Ilya Mikhelson Ph.D.</t>
  </si>
  <si>
    <t>https://www.accessengineeringlibrary.com/content/book/9780071794282</t>
  </si>
  <si>
    <t>https://www.accessengineeringlibrary.com/content/book/9780071850032</t>
  </si>
  <si>
    <t>https://www.accessengineeringlibrary.com/content/book/9781259836190</t>
  </si>
  <si>
    <t>https://www.accessengineeringlibrary.com/content/book/9781259859687</t>
  </si>
  <si>
    <t>Switch-Mode Power Supplies: SPICE Simulations and Practical Designs</t>
  </si>
  <si>
    <t>Christophe Basso</t>
  </si>
  <si>
    <t>https://www.accessengineeringlibrary.com/content/book/9780071508582</t>
  </si>
  <si>
    <t>https://www.accessengineeringlibrary.com/content/book/9780071755634</t>
  </si>
  <si>
    <t>https://www.accessengineeringlibrary.com/content/book/9781259588334</t>
  </si>
  <si>
    <t>https://www.accessengineeringlibrary.com/content/book/9781259860386</t>
  </si>
  <si>
    <t>Communications Network Test &amp; Measurement Handbook</t>
  </si>
  <si>
    <t>https://www.accessengineeringlibrary.com/content/book/9780070126176</t>
  </si>
  <si>
    <t>Alexander Newman</t>
  </si>
  <si>
    <t>https://www.accessengineeringlibrary.com/content/book/9780071402019</t>
  </si>
  <si>
    <t>Akbar Tamboli P.E. F.ASCE</t>
  </si>
  <si>
    <t>https://www.accessengineeringlibrary.com/content/book/9780071818711</t>
  </si>
  <si>
    <t>https://www.accessengineeringlibrary.com/content/book/9780071810791</t>
  </si>
  <si>
    <t>Schaum's Outline of Physics for Engineering and Science, Third Edition</t>
  </si>
  <si>
    <t>Michael Browne</t>
  </si>
  <si>
    <t>https://www.accessengineeringlibrary.com/content/book/9780071810906</t>
  </si>
  <si>
    <t>Schaum's Outline of Thermodynamics for Engineers, Third Edition</t>
  </si>
  <si>
    <t>Merle C. Potter, PhD</t>
  </si>
  <si>
    <t>https://www.accessengineeringlibrary.com/content/book/9780071830829</t>
  </si>
  <si>
    <t>J. Rodney Turner</t>
  </si>
  <si>
    <t>https://www.accessengineeringlibrary.com/content/book/9780071549745</t>
  </si>
  <si>
    <t>https://www.accessengineeringlibrary.com/content/book/9781259640582</t>
  </si>
  <si>
    <t>Charles J. Hellier</t>
  </si>
  <si>
    <t>https://www.accessengineeringlibrary.com/content/book/9781260441437</t>
  </si>
  <si>
    <t>https://www.accessengineeringlibrary.com/content/book/9781260128963</t>
  </si>
  <si>
    <t>https://www.accessengineeringlibrary.com/content/book/9781260457223</t>
  </si>
  <si>
    <t>https://www.accessengineeringlibrary.com/content/book/9781259835704</t>
  </si>
  <si>
    <t>https://www.accessengineeringlibrary.com/content/book/9780071740098</t>
  </si>
  <si>
    <t>https://www.accessengineeringlibrary.com/content/book/9780071472425</t>
  </si>
  <si>
    <t>https://www.accessengineeringlibrary.com/content/book/9780071464192</t>
  </si>
  <si>
    <t>Ahindra Nag</t>
  </si>
  <si>
    <t>https://www.accessengineeringlibrary.com/content/book/9780071701242</t>
  </si>
  <si>
    <t>https://www.accessengineeringlibrary.com/content/book/9781259585616</t>
  </si>
  <si>
    <t>Turgay Ertekin</t>
  </si>
  <si>
    <t>https://www.accessengineeringlibrary.com/content/book/9781259585630</t>
  </si>
  <si>
    <t>https://www.accessengineeringlibrary.com/content/book/9781259586095</t>
  </si>
  <si>
    <t>https://www.accessengineeringlibrary.com/content/book/9780071772891</t>
  </si>
  <si>
    <t>https://www.accessengineeringlibrary.com/content/book/9780071790673</t>
  </si>
  <si>
    <t>https://www.accessengineeringlibrary.com/content/book/9781259587276</t>
  </si>
  <si>
    <t>Vikki Hazelwood Ph.D. FNAI</t>
  </si>
  <si>
    <t>https://www.accessengineeringlibrary.com/content/book/9781260456950</t>
  </si>
  <si>
    <t>https://www.accessengineeringlibrary.com/content/book/9780071775960</t>
  </si>
  <si>
    <t>https://www.accessengineeringlibrary.com/content/book/9780071805025</t>
  </si>
  <si>
    <t>https://www.accessengineeringlibrary.com/content/book/9781260456158</t>
  </si>
  <si>
    <t>Stephen Rock</t>
  </si>
  <si>
    <t>https://www.accessengineeringlibrary.com/content/book/9780071769471</t>
  </si>
  <si>
    <t>https://www.accessengineeringlibrary.com/content/book/9781259641275</t>
  </si>
  <si>
    <t>Kerri Garbis</t>
  </si>
  <si>
    <t>https://www.accessengineeringlibrary.com/content/book/9781259643965</t>
  </si>
  <si>
    <t>Ray Wohlfarth</t>
  </si>
  <si>
    <t>https://www.accessengineeringlibrary.com/content/book/9781260026993</t>
  </si>
  <si>
    <t>Foundation and Anchor Design Guide for Metal Building Systems</t>
  </si>
  <si>
    <t>Alexander Newman, P.E., F.ASCE</t>
  </si>
  <si>
    <t>https://www.accessengineeringlibrary.com/content/book/9780071766357</t>
  </si>
  <si>
    <t>https://www.accessengineeringlibrary.com/content/book/9780071780780</t>
  </si>
  <si>
    <t>Ding Zhu Ph.D.</t>
  </si>
  <si>
    <t>https://www.accessengineeringlibrary.com/content/book/9781259642029</t>
  </si>
  <si>
    <t>https://www.accessengineeringlibrary.com/content/book/9781260011340</t>
  </si>
  <si>
    <t>https://www.accessengineeringlibrary.com/content/book/9780071839280</t>
  </si>
  <si>
    <t>https://www.accessengineeringlibrary.com/content/book/9781259862618</t>
  </si>
  <si>
    <t>https://www.accessengineeringlibrary.com/content/book/9781260011463</t>
  </si>
  <si>
    <t>https://www.accessengineeringlibrary.com/content/book/9780071792387</t>
  </si>
  <si>
    <t>https://www.accessengineeringlibrary.com/content/book/9780071800082</t>
  </si>
  <si>
    <t>Frank Lamb</t>
  </si>
  <si>
    <t>Industrial engineering | Materials engineering</t>
  </si>
  <si>
    <t>https://www.accessengineeringlibrary.com/content/book/9780071816458</t>
  </si>
  <si>
    <t>Waheed Uddin</t>
  </si>
  <si>
    <t>Civil engineering | Engineering management | Industrial engineering</t>
  </si>
  <si>
    <t>https://www.accessengineeringlibrary.com/content/book/9780071820110</t>
  </si>
  <si>
    <t>Steven Shepard Ph.D.</t>
  </si>
  <si>
    <t>https://www.accessengineeringlibrary.com/content/book/9780071832663</t>
  </si>
  <si>
    <t>Amir-Homayoon Najmi</t>
  </si>
  <si>
    <t>https://www.accessengineeringlibrary.com/content/book/9781260458930</t>
  </si>
  <si>
    <t>https://www.accessengineeringlibrary.com/content/book/9780071766852</t>
  </si>
  <si>
    <t>https://www.accessengineeringlibrary.com/content/book/9780071834056</t>
  </si>
  <si>
    <t>Haya Shajaiah Ph.D.</t>
  </si>
  <si>
    <t>https://www.accessengineeringlibrary.com/content/book/9781260460353</t>
  </si>
  <si>
    <t>https://www.accessengineeringlibrary.com/content/book/9781260458961</t>
  </si>
  <si>
    <t>https://www.accessengineeringlibrary.com/content/book/9780071772341</t>
  </si>
  <si>
    <t>https://www.accessengineeringlibrary.com/content/book/9781260456400</t>
  </si>
  <si>
    <t>https://www.accessengineeringlibrary.com/content/book/9780071770187</t>
  </si>
  <si>
    <t>https://www.accessengineeringlibrary.com/content/book/9780071819817</t>
  </si>
  <si>
    <t>Rodney Turner</t>
  </si>
  <si>
    <t>https://www.accessengineeringlibrary.com/content/book/9780071821780</t>
  </si>
  <si>
    <t>https://www.accessengineeringlibrary.com/content/book/9780071822282</t>
  </si>
  <si>
    <t>https://www.accessengineeringlibrary.com/content/book/9780071754408</t>
  </si>
  <si>
    <t>https://www.accessengineeringlibrary.com/content/book/9780071759663</t>
  </si>
  <si>
    <t>https://www.accessengineeringlibrary.com/content/book/9781260134858</t>
  </si>
  <si>
    <t>https://www.accessengineeringlibrary.com/content/book/9780071833950</t>
  </si>
  <si>
    <t>Matt Taddy</t>
  </si>
  <si>
    <t>https://www.accessengineeringlibrary.com/content/book/9781260452778</t>
  </si>
  <si>
    <t>https://www.accessengineeringlibrary.com/content/book/9781260117998</t>
  </si>
  <si>
    <t>https://www.accessengineeringlibrary.com/content/book/9780071795579</t>
  </si>
  <si>
    <t>Hongjiang Song Ph.D.</t>
  </si>
  <si>
    <t>https://www.accessengineeringlibrary.com/content/book/9781259644931</t>
  </si>
  <si>
    <t>https://www.accessengineeringlibrary.com/content/book/9781260455410</t>
  </si>
  <si>
    <t>https://www.accessengineeringlibrary.com/content/book/9780071799171</t>
  </si>
  <si>
    <t>Alan Williams Ph.D. S.E. F.I.C.E. C.Eng.</t>
  </si>
  <si>
    <t>https://www.accessengineeringlibrary.com/content/book/9781259588013</t>
  </si>
  <si>
    <t>https://www.accessengineeringlibrary.com/content/book/9781260031188</t>
  </si>
  <si>
    <t>https://www.accessengineeringlibrary.com/content/book/9781260440751</t>
  </si>
  <si>
    <t>https://www.accessengineeringlibrary.com/content/book/9781260117585</t>
  </si>
  <si>
    <t>https://www.accessengineeringlibrary.com/content/book/9780071787741</t>
  </si>
  <si>
    <t>https://www.accessengineeringlibrary.com/content/book/9781259584428</t>
  </si>
  <si>
    <t>https://www.accessengineeringlibrary.com/content/book/9781259861550</t>
  </si>
  <si>
    <t>3G Networks: Architecture, Protocols &amp; Procedures</t>
  </si>
  <si>
    <t>https://www.accessengineeringlibrary.com/content/book/9780070527997</t>
  </si>
  <si>
    <t>https://www.accessengineeringlibrary.com/content/book/9780071842372</t>
  </si>
  <si>
    <t>https://www.accessengineeringlibrary.com/content/book/9781260135626</t>
  </si>
  <si>
    <t>Sulalit Bandyopadhyay</t>
  </si>
  <si>
    <t>https://www.accessengineeringlibrary.com/content/book/9781260132236</t>
  </si>
  <si>
    <t>https://www.accessengineeringlibrary.com/content/book/9781260456882</t>
  </si>
  <si>
    <t>https://www.accessengineeringlibrary.com/content/book/9781259584275</t>
  </si>
  <si>
    <t>Seymour Lipschutz</t>
  </si>
  <si>
    <t>https://www.accessengineeringlibrary.com/content/book/9781260010534</t>
  </si>
  <si>
    <t>Fred Safier</t>
  </si>
  <si>
    <t>https://www.accessengineeringlibrary.com/content/book/9781260454208</t>
  </si>
  <si>
    <t>Tanmay Bakshi</t>
  </si>
  <si>
    <t>https://www.accessengineeringlibrary.com/content/book/9781260456639</t>
  </si>
  <si>
    <t>https://www.accessengineeringlibrary.com/content/book/9780071835206</t>
  </si>
  <si>
    <t>https://www.accessengineeringlibrary.com/content/book/9781260108385</t>
  </si>
  <si>
    <t>https://www.accessengineeringlibrary.com/content/book/9780071835732</t>
  </si>
  <si>
    <t>John L. Volakis</t>
  </si>
  <si>
    <t>https://www.accessengineeringlibrary.com/content/book/9781259644696</t>
  </si>
  <si>
    <t>Colleen Graves</t>
  </si>
  <si>
    <t>https://www.accessengineeringlibrary.com/content/book/9781259644252</t>
  </si>
  <si>
    <t>https://www.accessengineeringlibrary.com/content/book/9781259860423</t>
  </si>
  <si>
    <t>Richard Jennings</t>
  </si>
  <si>
    <t>https://www.accessengineeringlibrary.com/content/book/9781260135268</t>
  </si>
  <si>
    <t>Christine Beall NCARB CCS</t>
  </si>
  <si>
    <t>https://www.accessengineeringlibrary.com/content/book/9780071766395</t>
  </si>
  <si>
    <t>https://www.accessengineeringlibrary.com/content/book/9780071790222</t>
  </si>
  <si>
    <t>https://www.accessengineeringlibrary.com/content/book/9781260122251</t>
  </si>
  <si>
    <t>https://www.accessengineeringlibrary.com/content/book/9780071798426</t>
  </si>
  <si>
    <t>Introduction to the Finite Element Method, 4th Edition</t>
  </si>
  <si>
    <t>Mathematics | Mechanical engineering | Chemical engineering | Civil engineering</t>
  </si>
  <si>
    <t>https://www.accessengineeringlibrary.com/content/book/9781259861901</t>
  </si>
  <si>
    <t>Paul Dempsey</t>
  </si>
  <si>
    <t>https://www.accessengineeringlibrary.com/content/book/9781260116434</t>
  </si>
  <si>
    <t>Kedma Ough MBA</t>
  </si>
  <si>
    <t>https://www.accessengineeringlibrary.com/content/book/9781260132366</t>
  </si>
  <si>
    <t>Nikrouz Faroughi Ph.D.</t>
  </si>
  <si>
    <t>https://www.accessengineeringlibrary.com/content/book/9780071836906</t>
  </si>
  <si>
    <t>Tracey Richardson</t>
  </si>
  <si>
    <t>https://www.accessengineeringlibrary.com/content/book/9781259837425</t>
  </si>
  <si>
    <t>https://www.accessengineeringlibrary.com/content/book/9780071767187</t>
  </si>
  <si>
    <t>https://www.accessengineeringlibrary.com/content/book/9780071782777</t>
  </si>
  <si>
    <t>https://www.accessengineeringlibrary.com/content/book/9780071822145</t>
  </si>
  <si>
    <t>M. Gopal</t>
  </si>
  <si>
    <t>https://www.accessengineeringlibrary.com/content/book/9781260456844</t>
  </si>
  <si>
    <t>Alexander Newman P.E. MBA F.ASCE</t>
  </si>
  <si>
    <t>https://www.accessengineeringlibrary.com/content/book/9781260458336</t>
  </si>
  <si>
    <t>https://www.accessengineeringlibrary.com/content/book/9781259643095</t>
  </si>
  <si>
    <t>https://www.accessengineeringlibrary.com/content/book/9781260143560</t>
  </si>
  <si>
    <t>Wanshi Chen Ph.D.</t>
  </si>
  <si>
    <t>https://www.accessengineeringlibrary.com/content/book/9781260459999</t>
  </si>
  <si>
    <t>https://www.accessengineeringlibrary.com/content/book/9780071841726</t>
  </si>
  <si>
    <t>Russell Gamblin</t>
  </si>
  <si>
    <t>https://www.accessengineeringlibrary.com/content/book/9780071812221</t>
  </si>
  <si>
    <t>Everett B. Woodruff</t>
  </si>
  <si>
    <t>https://www.accessengineeringlibrary.com/content/book/9781259641336</t>
  </si>
  <si>
    <t>Gene R. Cogorno</t>
  </si>
  <si>
    <t>https://www.accessengineeringlibrary.com/content/book/9781260453782</t>
  </si>
  <si>
    <t>Jay Shen Ph.D. P.E. S.E.</t>
  </si>
  <si>
    <t>https://www.accessengineeringlibrary.com/content/book/9781260452334</t>
  </si>
  <si>
    <t>https://www.accessengineeringlibrary.com/content/book/9781260460254</t>
  </si>
  <si>
    <t>https://www.accessengineeringlibrary.com/content/book/9780071743891</t>
  </si>
  <si>
    <t>https://www.accessengineeringlibrary.com/content/book/9780071818698</t>
  </si>
  <si>
    <t>https://www.accessengineeringlibrary.com/content/book/9781259641978</t>
  </si>
  <si>
    <t>https://www.accessengineeringlibrary.com/content/book/9781259642586</t>
  </si>
  <si>
    <t>Bill Wooditch</t>
  </si>
  <si>
    <t>Innovation</t>
  </si>
  <si>
    <t>https://www.accessengineeringlibrary.com/content/book/9781260441512</t>
  </si>
  <si>
    <t>https://www.accessengineeringlibrary.com/content/book/9781260117608</t>
  </si>
  <si>
    <t>Tristan Boutros</t>
  </si>
  <si>
    <t>https://www.accessengineeringlibrary.com/content/book/9780071817660</t>
  </si>
  <si>
    <t>https://www.accessengineeringlibrary.com/content/book/9781259586125</t>
  </si>
  <si>
    <t>https://www.accessengineeringlibrary.com/content/book/9781260135909</t>
  </si>
  <si>
    <t>Dustyn Roberts</t>
  </si>
  <si>
    <t>https://www.accessengineeringlibrary.com/content/book/9780071741675</t>
  </si>
  <si>
    <t>Sheila Shaffie</t>
  </si>
  <si>
    <t>https://www.accessengineeringlibrary.com/content/book/9780071743853</t>
  </si>
  <si>
    <t>Jay Egg</t>
  </si>
  <si>
    <t>https://www.accessengineeringlibrary.com/content/book/9780071746106</t>
  </si>
  <si>
    <t>Tom McCarty</t>
  </si>
  <si>
    <t>https://www.accessengineeringlibrary.com/content/book/9780071752442</t>
  </si>
  <si>
    <t>https://www.accessengineeringlibrary.com/content/book/9780071741057</t>
  </si>
  <si>
    <t>https://www.accessengineeringlibrary.com/content/book/9781260440799</t>
  </si>
  <si>
    <t>https://www.accessengineeringlibrary.com/content/book/9781260135039</t>
  </si>
  <si>
    <t>https://www.accessengineeringlibrary.com/content/book/9780071794336</t>
  </si>
  <si>
    <t>https://www.accessengineeringlibrary.com/content/book/9780071800129</t>
  </si>
  <si>
    <t>https://www.accessengineeringlibrary.com/content/book/9781260019575</t>
  </si>
  <si>
    <t>https://www.accessengineeringlibrary.com/content/book/9780071767927</t>
  </si>
  <si>
    <t>https://www.accessengineeringlibrary.com/content/book/9780071832120</t>
  </si>
  <si>
    <t>https://www.accessengineeringlibrary.com/content/book/9781259587122</t>
  </si>
  <si>
    <t>Steve Borris</t>
  </si>
  <si>
    <t>https://www.accessengineeringlibrary.com/content/book/9780071788557</t>
  </si>
  <si>
    <t>Engineering management | Business skills | Civil engineering</t>
  </si>
  <si>
    <t>https://www.accessengineeringlibrary.com/content/book/9781260440737</t>
  </si>
  <si>
    <t>https://www.accessengineeringlibrary.com/content/book/9781260460384</t>
  </si>
  <si>
    <t>Leo Razdolsky Ph.D. P.E. S.E.</t>
  </si>
  <si>
    <t>https://www.accessengineeringlibrary.com/content/book/9780071789738</t>
  </si>
  <si>
    <t>https://www.accessengineeringlibrary.com/content/book/9781260011487</t>
  </si>
  <si>
    <t>https://www.accessengineeringlibrary.com/content/book/9781260122312</t>
  </si>
  <si>
    <t>https://www.accessengineeringlibrary.com/content/book/9780071837286</t>
  </si>
  <si>
    <t>Dirk Lukowsky Ph.D.</t>
  </si>
  <si>
    <t>https://www.accessengineeringlibrary.com/content/book/9780071839372</t>
  </si>
  <si>
    <t>https://www.accessengineeringlibrary.com/content/book/9781259586859</t>
  </si>
  <si>
    <t>https://www.accessengineeringlibrary.com/content/book/9780071821582</t>
  </si>
  <si>
    <t>https://www.accessengineeringlibrary.com/content/book/9780071837514</t>
  </si>
  <si>
    <t>https://www.accessengineeringlibrary.com/content/book/9781259585517</t>
  </si>
  <si>
    <t>https://www.accessengineeringlibrary.com/content/book/9781259585722</t>
  </si>
  <si>
    <t>https://www.accessengineeringlibrary.com/content/book/9781259860461</t>
  </si>
  <si>
    <t>https://www.accessengineeringlibrary.com/content/book/9780071752978</t>
  </si>
  <si>
    <t>https://www.accessengineeringlibrary.com/content/book/9780071801317</t>
  </si>
  <si>
    <t>https://www.accessengineeringlibrary.com/content/book/9781260457643</t>
  </si>
  <si>
    <t>https://www.accessengineeringlibrary.com/content/book/9781260460407</t>
  </si>
  <si>
    <t>https://www.accessengineeringlibrary.com/content/book/9781260011647</t>
  </si>
  <si>
    <t>https://www.accessengineeringlibrary.com/content/book/9781260453751</t>
  </si>
  <si>
    <t>https://www.accessengineeringlibrary.com/content/book/9781259641084</t>
  </si>
  <si>
    <t>Lee Waite Ph.D. P.E.</t>
  </si>
  <si>
    <t>https://www.accessengineeringlibrary.com/content/book/9781259644153</t>
  </si>
  <si>
    <t>https://www.accessengineeringlibrary.com/content/book/9781260454246</t>
  </si>
  <si>
    <t>Michael Frankel CIPE CPD</t>
  </si>
  <si>
    <t>https://www.accessengineeringlibrary.com/content/book/9780071760270</t>
  </si>
  <si>
    <t>https://www.accessengineeringlibrary.com/content/book/9780071770200</t>
  </si>
  <si>
    <t>https://www.accessengineeringlibrary.com/content/book/9780071810821</t>
  </si>
  <si>
    <t>https://www.accessengineeringlibrary.com/content/book/9780071838634</t>
  </si>
  <si>
    <t>Gabriele Zini</t>
  </si>
  <si>
    <t>https://www.accessengineeringlibrary.com/content/book/9781259642838</t>
  </si>
  <si>
    <t>https://www.accessengineeringlibrary.com/content/book/9781260012200</t>
  </si>
  <si>
    <t>TROUBLESHOOTING ELECTRONIC EQUIPMENT: Includes Repair And Maintenance, Second Edition</t>
  </si>
  <si>
    <t>Dr R.S. Khandpur</t>
  </si>
  <si>
    <t>https://www.accessengineeringlibrary.com/content/book/9780070483576</t>
  </si>
  <si>
    <t>https://www.accessengineeringlibrary.com/content/book/9780071828062</t>
  </si>
  <si>
    <t>Aircraft Electricity and Electronics, Sixth Edition</t>
  </si>
  <si>
    <t>https://www.accessengineeringlibrary.com/content/book/9780071799157</t>
  </si>
  <si>
    <t>Applied Fluid Mechanics for Engineers</t>
  </si>
  <si>
    <t>Meinhard T. Schobeiri, Ph.D.</t>
  </si>
  <si>
    <t>https://www.accessengineeringlibrary.com/content/book/9780071800044</t>
  </si>
  <si>
    <t>Industrial Chemical Process Design</t>
  </si>
  <si>
    <t>Douglas L. Erwin</t>
  </si>
  <si>
    <t>https://www.accessengineeringlibrary.com/content/book/9780071376204</t>
  </si>
  <si>
    <t>Arthur A. Bell Jr</t>
  </si>
  <si>
    <t>https://www.accessengineeringlibrary.com/content/book/9780071482424</t>
  </si>
  <si>
    <t>https://www.accessengineeringlibrary.com/content/book/9780071479165</t>
  </si>
  <si>
    <t>ASIC Design in the Silicon Sandbox: A Complete Guide to Building Mixed-Signal Integrated Circuits</t>
  </si>
  <si>
    <t>Keith Barr</t>
  </si>
  <si>
    <t>https://www.accessengineeringlibrary.com/content/book/9780071481618</t>
  </si>
  <si>
    <t>Perry's Chemical Engineers' Handbook, Eighth Edition</t>
  </si>
  <si>
    <t>Don W. Green</t>
  </si>
  <si>
    <t>https://www.accessengineeringlibrary.com/content/book/9780071422949</t>
  </si>
  <si>
    <t>Water Supply Systems Security</t>
  </si>
  <si>
    <t>https://www.accessengineeringlibrary.com/content/book/9780071425315</t>
  </si>
  <si>
    <t>Polymer Nanocomposites: Processing, Characterization, and Applications</t>
  </si>
  <si>
    <t>Joseph H. Koo</t>
  </si>
  <si>
    <t>https://www.accessengineeringlibrary.com/content/book/9780071458214</t>
  </si>
  <si>
    <t>Population Balances in Biomedical Engineering: Segregation through the Distribution of Cell States</t>
  </si>
  <si>
    <t>Martin A. HjortsĂ¸</t>
  </si>
  <si>
    <t>https://www.accessengineeringlibrary.com/content/book/9780071447683</t>
  </si>
  <si>
    <t>https://www.accessengineeringlibrary.com/content/book/9780071475747</t>
  </si>
  <si>
    <t>Milton Meckler</t>
  </si>
  <si>
    <t>https://www.accessengineeringlibrary.com/content/book/9780071603171</t>
  </si>
  <si>
    <t>Bridge Engineering: Design, Rehabilitation, and Maintenance of Modern Highway Bridges, Third Edition</t>
  </si>
  <si>
    <t>https://www.accessengineeringlibrary.com/content/book/9780071752497</t>
  </si>
  <si>
    <t>Schaum's Outline of Linear Algebra, Fifth Edition</t>
  </si>
  <si>
    <t>https://www.accessengineeringlibrary.com/content/book/9780071794565</t>
  </si>
  <si>
    <t>Electrical Safety Handbook, Fourth Edition</t>
  </si>
  <si>
    <t>https://www.accessengineeringlibrary.com/content/book/9780071745130</t>
  </si>
  <si>
    <t>https://www.accessengineeringlibrary.com/content/book/9780071800716</t>
  </si>
  <si>
    <t>J. Phillip Ellenberger</t>
  </si>
  <si>
    <t>https://www.accessengineeringlibrary.com/content/book/9780071436731</t>
  </si>
  <si>
    <t>Software &amp; Systems Requirements Engineering: In Practice</t>
  </si>
  <si>
    <t>Brian Berenbach</t>
  </si>
  <si>
    <t>https://www.accessengineeringlibrary.com/content/book/9780071605472</t>
  </si>
  <si>
    <t>Microprocessor Design: A Practical Guide from Design Planning to Manufacturing</t>
  </si>
  <si>
    <t>Grant McFarland</t>
  </si>
  <si>
    <t>https://www.accessengineeringlibrary.com/content/book/9780071459518</t>
  </si>
  <si>
    <t>Artificial Tactile Sensing in Biomedical Engineering</t>
  </si>
  <si>
    <t>https://www.accessengineeringlibrary.com/content/book/9780071601511</t>
  </si>
  <si>
    <t>Six Sigma Handbook, Fourth Edition</t>
  </si>
  <si>
    <t>https://www.accessengineeringlibrary.com/content/book/9780071840538</t>
  </si>
  <si>
    <t>JavaServer Faces 2.0: The Complete Reference</t>
  </si>
  <si>
    <t>Ed Burns</t>
  </si>
  <si>
    <t>https://www.accessengineeringlibrary.com/content/book/9780071625098</t>
  </si>
  <si>
    <t>Green Architecture: Advanced Technologies and Materials</t>
  </si>
  <si>
    <t>Osman Attmann</t>
  </si>
  <si>
    <t>https://www.accessengineeringlibrary.com/content/book/9780071625012</t>
  </si>
  <si>
    <t>Schaum's Outline of Geometry, Fifth Edition</t>
  </si>
  <si>
    <t>https://www.accessengineeringlibrary.com/content/book/9780071795401</t>
  </si>
  <si>
    <t>IC Layout Basics: A Practical Guide</t>
  </si>
  <si>
    <t>https://www.accessengineeringlibrary.com/content/book/9780071386258</t>
  </si>
  <si>
    <t>Adam Wax</t>
  </si>
  <si>
    <t>https://www.accessengineeringlibrary.com/content/book/9780071598804</t>
  </si>
  <si>
    <t>Richard Bronson</t>
  </si>
  <si>
    <t>https://www.accessengineeringlibrary.com/content/book/9780071611626</t>
  </si>
  <si>
    <t>https://www.accessengineeringlibrary.com/content/book/9780071622462</t>
  </si>
  <si>
    <t>Structural Steel Designer's Handbook, Fifth Edition</t>
  </si>
  <si>
    <t>Roger Brockenbrough, P.E.</t>
  </si>
  <si>
    <t>https://www.accessengineeringlibrary.com/content/book/9780071666664</t>
  </si>
  <si>
    <t>Practical Software Project Estimation: A Toolkit for Estimating Software Development Effort &amp; Duration</t>
  </si>
  <si>
    <t>Peter R. Hill</t>
  </si>
  <si>
    <t>https://www.accessengineeringlibrary.com/content/book/9780071717915</t>
  </si>
  <si>
    <t>Six Sigma Handbook: A Complete Guide for Green Belts, Black Belts, and Managers at All Levels, Third Edition</t>
  </si>
  <si>
    <t>https://www.accessengineeringlibrary.com/content/book/9780071623384</t>
  </si>
  <si>
    <t>https://www.accessengineeringlibrary.com/content/book/9780071825399</t>
  </si>
  <si>
    <t>Kenny Nguyen</t>
  </si>
  <si>
    <t>https://www.accessengineeringlibrary.com/content/book/9780071834926</t>
  </si>
  <si>
    <t>Robert A. Meyers</t>
  </si>
  <si>
    <t>https://www.accessengineeringlibrary.com/content/book/9780071391092</t>
  </si>
  <si>
    <t>James J. Oâ€™Brien</t>
  </si>
  <si>
    <t>https://www.accessengineeringlibrary.com/content/book/9780071636643</t>
  </si>
  <si>
    <t>https://www.accessengineeringlibrary.com/content/book/9780071632379</t>
  </si>
  <si>
    <t>Handbook of Nondestructive Evaluation, Second Edition</t>
  </si>
  <si>
    <t>https://www.accessengineeringlibrary.com/content/book/9780071777148</t>
  </si>
  <si>
    <t>Communication Networks: Principles and Practice</t>
  </si>
  <si>
    <t>https://www.accessengineeringlibrary.com/content/book/9780070583542</t>
  </si>
  <si>
    <t>Marvin Simon</t>
  </si>
  <si>
    <t>https://www.accessengineeringlibrary.com/content/book/9780071382151</t>
  </si>
  <si>
    <t>Gene Siciliano C.M.C. C.P.A.</t>
  </si>
  <si>
    <t>https://www.accessengineeringlibrary.com/content/book/9780071413770</t>
  </si>
  <si>
    <t>Software Engineering Best Practices: Lessons from Successful Projects in the Top Companies</t>
  </si>
  <si>
    <t>https://www.accessengineeringlibrary.com/content/book/9780071621618</t>
  </si>
  <si>
    <t>Programming the Raspberry Pi: Getting Started with Python</t>
  </si>
  <si>
    <t>https://www.accessengineeringlibrary.com/content/book/9780071807838</t>
  </si>
  <si>
    <t>Bioinformatics: Principles and Applications</t>
  </si>
  <si>
    <t>Harshawardhan P. Bal</t>
  </si>
  <si>
    <t>https://www.accessengineeringlibrary.com/content/book/9780070583207</t>
  </si>
  <si>
    <t>Akbar Tamboli</t>
  </si>
  <si>
    <t>https://www.accessengineeringlibrary.com/content/book/9780071550055</t>
  </si>
  <si>
    <t>https://www.accessengineeringlibrary.com/content/book/9780071701884</t>
  </si>
  <si>
    <t>https://www.accessengineeringlibrary.com/content/book/9780071596978</t>
  </si>
  <si>
    <t>Environmental Biotechnology: Principles and Applications</t>
  </si>
  <si>
    <t>Bruce E. Rittmann</t>
  </si>
  <si>
    <t>https://www.accessengineeringlibrary.com/content/book/9781260440591</t>
  </si>
  <si>
    <t>https://www.accessengineeringlibrary.com/content/book/9780071362986</t>
  </si>
  <si>
    <t>Daniel Flynn</t>
  </si>
  <si>
    <t>https://www.accessengineeringlibrary.com/content/book/9780071548830</t>
  </si>
  <si>
    <t>https://www.accessengineeringlibrary.com/content/book/9780071822312</t>
  </si>
  <si>
    <t>One Simple Idea: Turn Your Dreams into a Licensing Goldmine While Letting Others Do the Work</t>
  </si>
  <si>
    <t>https://www.accessengineeringlibrary.com/content/book/9780071756150</t>
  </si>
  <si>
    <t>https://www.accessengineeringlibrary.com/content/book/9780071591225</t>
  </si>
  <si>
    <t>https://www.accessengineeringlibrary.com/content/book/9780071824859</t>
  </si>
  <si>
    <t>Steam Plant Operation, Ninth Edition</t>
  </si>
  <si>
    <t>https://www.accessengineeringlibrary.com/content/book/9780071667968</t>
  </si>
  <si>
    <t>https://www.accessengineeringlibrary.com/content/book/9780070125827</t>
  </si>
  <si>
    <t>Electronic Technology Handbook</t>
  </si>
  <si>
    <t>https://www.accessengineeringlibrary.com/content/book/9780070580480</t>
  </si>
  <si>
    <t>Optical Communications Essentials</t>
  </si>
  <si>
    <t>Gerd Keiser</t>
  </si>
  <si>
    <t>https://www.accessengineeringlibrary.com/content/book/9780071412049</t>
  </si>
  <si>
    <t>Semiconductor Manufacturing Handbook</t>
  </si>
  <si>
    <t>https://www.accessengineeringlibrary.com/content/book/9780071445597</t>
  </si>
  <si>
    <t>Georg Houben</t>
  </si>
  <si>
    <t>https://www.accessengineeringlibrary.com/content/book/9780071486514</t>
  </si>
  <si>
    <t>https://www.accessengineeringlibrary.com/content/book/9781259585531</t>
  </si>
  <si>
    <t>Greening Existing Buildings</t>
  </si>
  <si>
    <t>https://www.accessengineeringlibrary.com/content/book/9780071638326</t>
  </si>
  <si>
    <t>Switching Power Supply Design &amp; Optimization, Second Edition</t>
  </si>
  <si>
    <t>Sanjaya Maniktala</t>
  </si>
  <si>
    <t>https://www.accessengineeringlibrary.com/content/book/9780071798143</t>
  </si>
  <si>
    <t>Uninterruptible Power Supplies</t>
  </si>
  <si>
    <t>Alexander King</t>
  </si>
  <si>
    <t>https://www.accessengineeringlibrary.com/content/book/9780071395953</t>
  </si>
  <si>
    <t>Complete Digital Design: A Comprehensive Guide to Digital Electronics and Computer System Architecture</t>
  </si>
  <si>
    <t>Mark Balch</t>
  </si>
  <si>
    <t>https://www.accessengineeringlibrary.com/content/book/9780071409278</t>
  </si>
  <si>
    <t>Construction Administration for Architects</t>
  </si>
  <si>
    <t>Greg Winkler</t>
  </si>
  <si>
    <t>https://www.accessengineeringlibrary.com/content/book/9780071622318</t>
  </si>
  <si>
    <t>https://www.accessengineeringlibrary.com/content/book/9780071622967</t>
  </si>
  <si>
    <t>Product Manager's Survival Guide: Everything You Need to Know to Succeed as a Product Manager</t>
  </si>
  <si>
    <t>https://www.accessengineeringlibrary.com/content/book/9780071805469</t>
  </si>
  <si>
    <t>William Nash</t>
  </si>
  <si>
    <t>https://www.accessengineeringlibrary.com/content/book/9780071635080</t>
  </si>
  <si>
    <t>Handbook of Petrochemicals Production Processes</t>
  </si>
  <si>
    <t>https://www.accessengineeringlibrary.com/content/book/9780071410427</t>
  </si>
  <si>
    <t>Electrical Equipment Handbook: Troubleshooting and Maintenance</t>
  </si>
  <si>
    <t>Philip Kiameh</t>
  </si>
  <si>
    <t>https://www.accessengineeringlibrary.com/content/book/9780071396035</t>
  </si>
  <si>
    <t>https://www.accessengineeringlibrary.com/content/book/9780071498395</t>
  </si>
  <si>
    <t>Design of Wood Structuresâ€”ASD/LRFD, Seventh Edition</t>
  </si>
  <si>
    <t>Donald E. Breyer, P.E.</t>
  </si>
  <si>
    <t>https://www.accessengineeringlibrary.com/content/book/9780071745604</t>
  </si>
  <si>
    <t>https://www.accessengineeringlibrary.com/content/book/9780071842808</t>
  </si>
  <si>
    <t>Masoud Farzaneh Ph.D.</t>
  </si>
  <si>
    <t>https://www.accessengineeringlibrary.com/content/book/9780071771917</t>
  </si>
  <si>
    <t>https://www.accessengineeringlibrary.com/content/book/9780071793056</t>
  </si>
  <si>
    <t>https://www.accessengineeringlibrary.com/content/book/9780071798259</t>
  </si>
  <si>
    <t>https://www.accessengineeringlibrary.com/content/book/9781260121827</t>
  </si>
  <si>
    <t>Amit Sinha</t>
  </si>
  <si>
    <t>Engineering management | Industrial engineering | Computer science</t>
  </si>
  <si>
    <t>https://www.accessengineeringlibrary.com/content/book/9781260458190</t>
  </si>
  <si>
    <t>Applied Biofluid Mechanics</t>
  </si>
  <si>
    <t>Lee Waite</t>
  </si>
  <si>
    <t>https://www.accessengineeringlibrary.com/content/book/9780071472173</t>
  </si>
  <si>
    <t>https://www.accessengineeringlibrary.com/content/book/9780071479370</t>
  </si>
  <si>
    <t>https://www.accessengineeringlibrary.com/content/book/9780071737012</t>
  </si>
  <si>
    <t>https://www.accessengineeringlibrary.com/content/book/9780071432184</t>
  </si>
  <si>
    <t>CDMA Capacity and Quality Optimization</t>
  </si>
  <si>
    <t>Adam N. Rosenberg</t>
  </si>
  <si>
    <t>https://www.accessengineeringlibrary.com/content/book/9780071399197</t>
  </si>
  <si>
    <t>Geometric Dimensioning and Tolerancing for Mechanical Design, Second Edition</t>
  </si>
  <si>
    <t>https://www.accessengineeringlibrary.com/content/book/9780071772129</t>
  </si>
  <si>
    <t>Sidney Levy</t>
  </si>
  <si>
    <t>https://www.accessengineeringlibrary.com/content/book/9780071464178</t>
  </si>
  <si>
    <t>Schaum's Outline of Fluid Mechanics</t>
  </si>
  <si>
    <t>https://www.accessengineeringlibrary.com/content/book/9780071487818</t>
  </si>
  <si>
    <t>https://www.accessengineeringlibrary.com/content/book/9780071622950</t>
  </si>
  <si>
    <t>https://www.accessengineeringlibrary.com/content/book/9781260455304</t>
  </si>
  <si>
    <t>Schaum's Outline of Signals and Systems, Third Edition</t>
  </si>
  <si>
    <t>https://www.accessengineeringlibrary.com/content/book/9780071829465</t>
  </si>
  <si>
    <t>Roark's Formulas for Stress and Strain, Eighth Edition</t>
  </si>
  <si>
    <t>Warren C. Young</t>
  </si>
  <si>
    <t>https://www.accessengineeringlibrary.com/content/book/9780071742474</t>
  </si>
  <si>
    <t>3G Wireless Networks</t>
  </si>
  <si>
    <t>Clint Smith</t>
  </si>
  <si>
    <t>https://www.accessengineeringlibrary.com/content/book/9780071363815</t>
  </si>
  <si>
    <t>https://www.accessengineeringlibrary.com/content/book/9780071502443</t>
  </si>
  <si>
    <t>https://www.accessengineeringlibrary.com/content/book/9781260143249</t>
  </si>
  <si>
    <t>Biofuels Engineering Process Technology</t>
  </si>
  <si>
    <t>Caye M. Drapcho</t>
  </si>
  <si>
    <t>https://www.accessengineeringlibrary.com/content/book/9780071487498</t>
  </si>
  <si>
    <t>https://www.accessengineeringlibrary.com/content/book/9780071633512</t>
  </si>
  <si>
    <t>Wind Energy Engineering</t>
  </si>
  <si>
    <t>Pramod Jain, Ph.D.</t>
  </si>
  <si>
    <t>https://www.accessengineeringlibrary.com/content/book/9780071714778</t>
  </si>
  <si>
    <t>Six Sigma for Electronics Design and Manufacturing</t>
  </si>
  <si>
    <t>https://www.accessengineeringlibrary.com/content/book/9780071395113</t>
  </si>
  <si>
    <t>Roberto Paiella</t>
  </si>
  <si>
    <t>https://www.accessengineeringlibrary.com/content/book/9780071457927</t>
  </si>
  <si>
    <t>Programming the Raspberry Pi: Getting Started with Python, Second Edition</t>
  </si>
  <si>
    <t>https://www.accessengineeringlibrary.com/content/book/9781259587405</t>
  </si>
  <si>
    <t>Civil Engineering All-In-One PE Exam Guide: Breadth and Depth, Third Edition</t>
  </si>
  <si>
    <t>Indranil Goswami, Ph.D., P.E.</t>
  </si>
  <si>
    <t>https://www.accessengineeringlibrary.com/content/book/9780071821957</t>
  </si>
  <si>
    <t>Geotechnical Earthquake Engineering Handbook</t>
  </si>
  <si>
    <t>https://www.accessengineeringlibrary.com/content/book/9780071377829</t>
  </si>
  <si>
    <t>https://www.accessengineeringlibrary.com/content/book/9780071370677</t>
  </si>
  <si>
    <t>https://www.accessengineeringlibrary.com/content/book/9780071474856</t>
  </si>
  <si>
    <t>Quantum Mechanics Demystified, Second Edition</t>
  </si>
  <si>
    <t>David McMahon</t>
  </si>
  <si>
    <t>https://www.accessengineeringlibrary.com/content/book/9780071765633</t>
  </si>
  <si>
    <t>Steven Fisher</t>
  </si>
  <si>
    <t>https://www.accessengineeringlibrary.com/content/book/9780071832366</t>
  </si>
  <si>
    <t>https://www.accessengineeringlibrary.com/content/book/9781259588976</t>
  </si>
  <si>
    <t>https://www.accessengineeringlibrary.com/content/book/9780071351454</t>
  </si>
  <si>
    <t>https://www.accessengineeringlibrary.com/content/book/9781264989669</t>
  </si>
  <si>
    <t>https://www.accessengineeringlibrary.com/content/book/9781265372545</t>
  </si>
  <si>
    <t>https://www.accessengineeringlibrary.com/content/book/9781265058432</t>
  </si>
  <si>
    <t>https://www.accessengineeringlibrary.com/content/book/9781265138516</t>
  </si>
  <si>
    <t>Best-selling author Herbert Schildt</t>
  </si>
  <si>
    <t>https://www.accessengineeringlibrary.com/content/book/9781265054632</t>
  </si>
  <si>
    <t>https://www.accessengineeringlibrary.com/content/book/9781260467598</t>
  </si>
  <si>
    <t>Chris Haroun</t>
  </si>
  <si>
    <t>https://www.accessengineeringlibrary.com/content/book/9781265425999</t>
  </si>
  <si>
    <t>https://www.accessengineeringlibrary.com/content/book/9780071634977</t>
  </si>
  <si>
    <t>https://www.accessengineeringlibrary.com/content/book/9780071749558</t>
  </si>
  <si>
    <t>https://www.accessengineeringlibrary.com/content/book/9780071772259</t>
  </si>
  <si>
    <t>Wale Soyinka</t>
  </si>
  <si>
    <t>https://www.accessengineeringlibrary.com/content/book/9781260441703</t>
  </si>
  <si>
    <t>Nikolay Voutchkov PE BCEE</t>
  </si>
  <si>
    <t>https://www.accessengineeringlibrary.com/content/book/9780071777155</t>
  </si>
  <si>
    <t>https://www.accessengineeringlibrary.com/content/book/9780071770613</t>
  </si>
  <si>
    <t>https://www.accessengineeringlibrary.com/content/book/9781265631055</t>
  </si>
  <si>
    <t>https://www.accessengineeringlibrary.com/content/book/9781266205781</t>
  </si>
  <si>
    <t>https://www.accessengineeringlibrary.com/content/book/9781266720222</t>
  </si>
  <si>
    <t>https://www.accessengineeringlibrary.com/content/book/9781265997755</t>
  </si>
  <si>
    <t>https://www.accessengineeringlibrary.com/content/book/9780071833479</t>
  </si>
  <si>
    <t>Civil engineering | Mechanical engineering | Mathematics</t>
  </si>
  <si>
    <t>https://www.accessengineeringlibrary.com/content/book/9781265989316</t>
  </si>
  <si>
    <t>https://www.accessengineeringlibrary.com/content/book/9780072392661</t>
  </si>
  <si>
    <t>Mustafa Mahamid Ph.D. S.E. P.E. F.SEI F.ASCE F.ACI</t>
  </si>
  <si>
    <t>https://www.accessengineeringlibrary.com/content/book/9781260453157</t>
  </si>
  <si>
    <t>Danielle Ruest</t>
  </si>
  <si>
    <t>https://www.accessengineeringlibrary.com/content/book/9780071614016</t>
  </si>
  <si>
    <t>https://www.accessengineeringlibrary.com/content/book/9780071701099</t>
  </si>
  <si>
    <t>https://www.accessengineeringlibrary.com/content/book/9781265933920</t>
  </si>
  <si>
    <t>https://www.accessengineeringlibrary.com/content/book/9781265649159</t>
  </si>
  <si>
    <t>https://www.accessengineeringlibrary.com/content/book/9781264922444</t>
  </si>
  <si>
    <t>Matt Walker</t>
  </si>
  <si>
    <t>https://www.accessengineeringlibrary.com/content/book/9781264269945</t>
  </si>
  <si>
    <t>https://www.accessengineeringlibrary.com/content/book/9781260132250</t>
  </si>
  <si>
    <t>https://www.accessengineeringlibrary.com/content/book/9780071742412</t>
  </si>
  <si>
    <t>https://www.accessengineeringlibrary.com/content/book/9781260011814</t>
  </si>
  <si>
    <t>Cem Ăśnsalan</t>
  </si>
  <si>
    <t>https://www.accessengineeringlibrary.com/content/book/9781266086915</t>
  </si>
  <si>
    <t>https://www.accessengineeringlibrary.com/content/book/9781266171239</t>
  </si>
  <si>
    <t>https://www.accessengineeringlibrary.com/content/book/9781266951244</t>
  </si>
  <si>
    <t>https://www.accessengineeringlibrary.com/content/book/9781266018923</t>
  </si>
  <si>
    <t>https://www.accessengineeringlibrary.com/content/book/9781266245206</t>
  </si>
  <si>
    <t>Parent Book</t>
  </si>
  <si>
    <t>Resource URI;</t>
  </si>
  <si>
    <t>Videos</t>
  </si>
  <si>
    <t>Schaum's Calculus Supplementary Problem 43.16 Video Solution</t>
  </si>
  <si>
    <t>Schaum's Outline Of Calculus, Seventh Edition|Schaum's Outline of Calculus, Sixth Edition</t>
  </si>
  <si>
    <t>9781264258338|9780071795531</t>
  </si>
  <si>
    <t>David Rader</t>
  </si>
  <si>
    <t>Calculus | Infinite series | Geometric series | Decomposition | Rational functions | Sequences and series</t>
  </si>
  <si>
    <t>Mathematics | Sciences</t>
  </si>
  <si>
    <t>https://www.accessengineeringlibrary.com/content/video/V1402329334001</t>
  </si>
  <si>
    <t>;</t>
  </si>
  <si>
    <t>Schaum's Calculus Supplementary Problem 39.30 Video Solution</t>
  </si>
  <si>
    <t>Calculus | Vectors | Scalars | Dot product | Unit vectors</t>
  </si>
  <si>
    <t>https://www.accessengineeringlibrary.com/content/video/V1402329335001</t>
  </si>
  <si>
    <t>Schaum's Calculus Supplementary Problem 38.23 Video Solution</t>
  </si>
  <si>
    <t>Calculus | Derivatives | Sine | Cosine | Chain rules</t>
  </si>
  <si>
    <t>https://www.accessengineeringlibrary.com/content/video/V1402329336001</t>
  </si>
  <si>
    <t>Schaum's Calculus Supplementary Problem 30.28 Video Solution</t>
  </si>
  <si>
    <t>Calculus | Definite integrals | Volume</t>
  </si>
  <si>
    <t>Mathematics | Chemical engineering | Mechanical engineering | Sciences</t>
  </si>
  <si>
    <t>https://www.accessengineeringlibrary.com/content/video/V1402329337001</t>
  </si>
  <si>
    <t>Schaum's Calculus Supplementary Problem 26.13 Video Solution</t>
  </si>
  <si>
    <t>Calculus | Definite integrals | Fundamental theorem of calculus</t>
  </si>
  <si>
    <t>https://www.accessengineeringlibrary.com/content/video/V1402329338001</t>
  </si>
  <si>
    <t>Schaum's Calculus Supplementary Problem 22.56 Video Solution</t>
  </si>
  <si>
    <t>Calculus | Indefinite integrals</t>
  </si>
  <si>
    <t>https://www.accessengineeringlibrary.com/content/video/V1402329339001</t>
  </si>
  <si>
    <t>Schaum's Calculus Supplementary Problem 19.15 Video Solution</t>
  </si>
  <si>
    <t>Calculus | Angular velocity | Angular acceleration | Acceleration</t>
  </si>
  <si>
    <t>Mathematics | Civil engineering | Mechanical engineering | Sciences</t>
  </si>
  <si>
    <t>https://www.accessengineeringlibrary.com/content/video/V1402329340001</t>
  </si>
  <si>
    <t>Schaum's Calculus Supplementary Problem 7.18 Video Solution</t>
  </si>
  <si>
    <t>Calculus | Factoring | Rational functions | Algebra</t>
  </si>
  <si>
    <t>https://www.accessengineeringlibrary.com/content/video/V1402329341001</t>
  </si>
  <si>
    <t>Schaum's Calculus Supplementary Problem 54.11 Video Solution</t>
  </si>
  <si>
    <t>Calculus | Sine | Cosine</t>
  </si>
  <si>
    <t>https://www.accessengineeringlibrary.com/content/video/V1402345866001</t>
  </si>
  <si>
    <t>Schaum's Calculus Supplementary Problem 48.27 Video Solution</t>
  </si>
  <si>
    <t>Calculus | Derivatives | Partial derivatives | Trigonometric functions | Chain rules | Sine</t>
  </si>
  <si>
    <t>https://www.accessengineeringlibrary.com/content/video/V1402345867001</t>
  </si>
  <si>
    <t>Schaum's Calculus Supplementary Problem 41.28 Video Solution</t>
  </si>
  <si>
    <t>Calculus | Tangent | Derivatives | Sine | Cosine | Chain rules</t>
  </si>
  <si>
    <t>https://www.accessengineeringlibrary.com/content/video/V1402345869001</t>
  </si>
  <si>
    <t>Schaum's Calculus Supplementary Problem 31.19 Video Solution</t>
  </si>
  <si>
    <t>Calculus | Indefinite integrals | Cosine | Sine | Integration by parts</t>
  </si>
  <si>
    <t>https://www.accessengineeringlibrary.com/content/video/V1402345870001</t>
  </si>
  <si>
    <t>Belt Drive Video 4: Design Example Part II</t>
  </si>
  <si>
    <t>Christopher Tomasi</t>
  </si>
  <si>
    <t>Belts | Mechanical engineering | V belts | Round belts | Motors | Operating efficiency</t>
  </si>
  <si>
    <t>https://www.accessengineeringlibrary.com/content/video/V1402349042001</t>
  </si>
  <si>
    <t>Belt Drive Video 3: Design Example Part I</t>
  </si>
  <si>
    <t>Belts | Horsepower | Mechanical engineering | Tension | Motors | Shafts</t>
  </si>
  <si>
    <t>Mechanical engineering | Electrical engineering | Energy engineering | Civil engineering | Sciences</t>
  </si>
  <si>
    <t>https://www.accessengineeringlibrary.com/content/video/V1402349043001</t>
  </si>
  <si>
    <t>HVAC System Sizing Design Example Part 4: System Layout and Duct Sizing</t>
  </si>
  <si>
    <t>Marksâ€™ Standard Handbook for Mechanical Engineers, Eleventh Edition</t>
  </si>
  <si>
    <t>Jason Gilbert</t>
  </si>
  <si>
    <t>HVAC systems | Duct design | HVAC design | Mechanical engineering | Ductwork | Roofing</t>
  </si>
  <si>
    <t>https://www.accessengineeringlibrary.com/content/video/V1402374715001</t>
  </si>
  <si>
    <t>HVAC System Sizing Design Example Part 2: Heating and Cooling Loads</t>
  </si>
  <si>
    <t>Cooling load | HVAC systems | HVAC design | Mechanical engineering | Walls | Doors</t>
  </si>
  <si>
    <t>https://www.accessengineeringlibrary.com/content/video/V1402374716001</t>
  </si>
  <si>
    <t>Torque Transfer Video 4: Tolerancing</t>
  </si>
  <si>
    <t>Torque | Mechanical engineering | Shafts</t>
  </si>
  <si>
    <t>Sciences | Mechanical engineering</t>
  </si>
  <si>
    <t>https://www.accessengineeringlibrary.com/content/video/V1402374717001</t>
  </si>
  <si>
    <t>Single-stage Single-suction Overhung Pump with Volute Casing</t>
  </si>
  <si>
    <t>Pumps | Mechanical engineering | Impellers | Centrifugal pumps | Water pumps | Spin</t>
  </si>
  <si>
    <t>Chemical engineering | Civil engineering | Mechanical engineering | Electrical engineering | Energy engineering | Sciences</t>
  </si>
  <si>
    <t>https://www.accessengineeringlibrary.com/content/video/V1402374722001</t>
  </si>
  <si>
    <t>Calculating Heat Transfer through a Wall Section</t>
  </si>
  <si>
    <t>Heat transfer | Wall sections | Mechanical engineering | Walls | Brick masonry | Heat transfer coefficients</t>
  </si>
  <si>
    <t>Chemical engineering | Mechanical engineering | Sciences | Civil engineering</t>
  </si>
  <si>
    <t>https://www.accessengineeringlibrary.com/content/video/V1402374723001</t>
  </si>
  <si>
    <t>Design of a Steel Beam</t>
  </si>
  <si>
    <t>James Pitarresi</t>
  </si>
  <si>
    <t>Steel beams | Mechanical engineering | Stress | Geometric equations | Deflection | Allowable load</t>
  </si>
  <si>
    <t>https://www.accessengineeringlibrary.com/content/video/V1402374724001</t>
  </si>
  <si>
    <t>Torque Transfer Video 2: Keyway Design</t>
  </si>
  <si>
    <t>Torque | Keyways | Mechanical engineering | Shafts | Yield strength | Shear force</t>
  </si>
  <si>
    <t>Sciences | Mechanical engineering | Materials engineering</t>
  </si>
  <si>
    <t>https://www.accessengineeringlibrary.com/content/video/V1402374726001</t>
  </si>
  <si>
    <t>Torque Transfer Video 1: Devices</t>
  </si>
  <si>
    <t>Torque | Shafts | Splines | Mechanical engineering | Screws | Keyways</t>
  </si>
  <si>
    <t>Sciences | Mechanical engineering | Civil engineering</t>
  </si>
  <si>
    <t>https://www.accessengineeringlibrary.com/content/video/V1402374728001</t>
  </si>
  <si>
    <t>Available Solar Irradiation</t>
  </si>
  <si>
    <t>Joseph DeAngelo</t>
  </si>
  <si>
    <t>Mechanical engineering | Solar energy | Statistical values | Solar panels | Radiation</t>
  </si>
  <si>
    <t>Mechanical engineering | Energy engineering | Environmental engineering | Computer science | Mathematics | Electrical engineering | Sciences</t>
  </si>
  <si>
    <t>https://www.accessengineeringlibrary.com/content/video/V1402374734001</t>
  </si>
  <si>
    <t>Chain Drive Video 2: Roller Chain Lubrication Options</t>
  </si>
  <si>
    <t>Chain drives | Mechanical engineering | Lubricating systems | Lubrication | Viscosity | Hydrocarbon reservoirs</t>
  </si>
  <si>
    <t>Mechanical engineering | Materials engineering | Chemical engineering | Civil engineering | Energy engineering</t>
  </si>
  <si>
    <t>https://www.accessengineeringlibrary.com/content/video/V1402374736001</t>
  </si>
  <si>
    <t>Bearing Video 4: Bearing Selection</t>
  </si>
  <si>
    <t>Bearings | Dynamic load | Design load | Torque | Mechanical engineering | Shafts</t>
  </si>
  <si>
    <t>Mechanical engineering | Civil engineering | Sciences</t>
  </si>
  <si>
    <t>https://www.accessengineeringlibrary.com/content/video/V1402374740001</t>
  </si>
  <si>
    <t>Bearing Video 1: Bearing Types</t>
  </si>
  <si>
    <t>Bearings | Mechanical engineering | Rolling contact bearings | Fluid film bearings | Journal bearings | Shafts</t>
  </si>
  <si>
    <t>https://www.accessengineeringlibrary.com/content/video/V1402374741001</t>
  </si>
  <si>
    <t>Belt Drive Video 2: Belt Drive Geometry</t>
  </si>
  <si>
    <t>Belts | Mechanical engineering | Tension | Screws | Machining | K value</t>
  </si>
  <si>
    <t>Mechanical engineering | Civil engineering | Sciences | Industrial engineering | Materials engineering | Chemical engineering</t>
  </si>
  <si>
    <t>https://www.accessengineeringlibrary.com/content/video/V1402374743001</t>
  </si>
  <si>
    <t>Gear Video 4: Spur Gear Selection</t>
  </si>
  <si>
    <t>Spur gears | Gears | Horsepower | Mechanical engineering | Shafts | Motors</t>
  </si>
  <si>
    <t>https://www.accessengineeringlibrary.com/content/video/V1402374747001</t>
  </si>
  <si>
    <t>Bearing Video 3: Mounting</t>
  </si>
  <si>
    <t>Bearings | Mechanical engineering | Shafts | Screws | Bearing lubrication</t>
  </si>
  <si>
    <t>https://www.accessengineeringlibrary.com/content/video/V1402374748001</t>
  </si>
  <si>
    <t>Gear Video 1: Spur Gear Drive Fundamentals</t>
  </si>
  <si>
    <t>Spur gears | Gears | Mechanical engineering | Torque | Shafts | Bevel gears</t>
  </si>
  <si>
    <t>Mechanical engineering | Sciences</t>
  </si>
  <si>
    <t>https://www.accessengineeringlibrary.com/content/video/V1402374750001</t>
  </si>
  <si>
    <t>Analysis of a Concentric Curved Beam</t>
  </si>
  <si>
    <t>Curved beams | Mechanical engineering | Normal stress | Bending stress | Radius of curvature | Bending moment</t>
  </si>
  <si>
    <t>https://www.accessengineeringlibrary.com/content/video/V1402381061001</t>
  </si>
  <si>
    <t>Calculation of Available Wind Energy</t>
  </si>
  <si>
    <t>Wind energy | Wind turbines | Mechanical engineering | Watts | Rotors | Air density</t>
  </si>
  <si>
    <t>Energy engineering | Environmental engineering | Chemical engineering | Civil engineering | Mechanical engineering | Electrical engineering | Aerospace engineering</t>
  </si>
  <si>
    <t>https://www.accessengineeringlibrary.com/content/video/V1402381063001</t>
  </si>
  <si>
    <t>Rates of Heat Gain from Occupants of Conditioned Spaces</t>
  </si>
  <si>
    <t>Mechanical engineering | Factories | Motors | Horsepower | Pumps | Cooling load</t>
  </si>
  <si>
    <t>Mechanical engineering | Industrial engineering | Electrical engineering | Energy engineering | Chemical engineering | Civil engineering</t>
  </si>
  <si>
    <t>https://www.accessengineeringlibrary.com/content/video/V1402381064001</t>
  </si>
  <si>
    <t>Wind Power Economics</t>
  </si>
  <si>
    <t>Wind energy | Mechanical engineering | Wind turbines | Levelized costs | Electrical generators | Electric power</t>
  </si>
  <si>
    <t>Energy engineering | Environmental engineering | Mechanical engineering | Chemical engineering | Civil engineering | Electrical engineering | Business skills | Engineering management | Sciences</t>
  </si>
  <si>
    <t>https://www.accessengineeringlibrary.com/content/video/V1402381068001</t>
  </si>
  <si>
    <t>Gear Video 6: Worm Gear Selection</t>
  </si>
  <si>
    <t>Worm gears | Gears | Horsepower | Mechanical engineering | Motors | Shafts</t>
  </si>
  <si>
    <t>https://www.accessengineeringlibrary.com/content/video/V1402381077001</t>
  </si>
  <si>
    <t>Gear Video 5: Bevel Gear Selection</t>
  </si>
  <si>
    <t>Bevel gears | Horsepower | Mechanical engineering | Motors | Gears | Electrical load</t>
  </si>
  <si>
    <t>https://www.accessengineeringlibrary.com/content/video/V1402381079001</t>
  </si>
  <si>
    <t>Bearing Video 2: Loading</t>
  </si>
  <si>
    <t>Bearings | Thrust | Mechanical engineering | Shafts | Axial load | Exterior columns</t>
  </si>
  <si>
    <t>Mechanical engineering | Aerospace engineering | Chemical engineering | Civil engineering | Sciences</t>
  </si>
  <si>
    <t>https://www.accessengineeringlibrary.com/content/video/V1402381082001</t>
  </si>
  <si>
    <t>Outdoor Air Requirements for Ventilation</t>
  </si>
  <si>
    <t>Ventilation | Mechanical engineering | Indoor air quality | Ductwork | Air pollution | Exterior columns</t>
  </si>
  <si>
    <t>Mechanical engineering | Civil engineering | Energy engineering | Environmental engineering</t>
  </si>
  <si>
    <t>https://www.accessengineeringlibrary.com/content/video/V1402381084001</t>
  </si>
  <si>
    <t>Moment and Shear in Uniformly Loaded Continuous Beams</t>
  </si>
  <si>
    <t>Shear load | Continuous beams | Mechanical engineering | Shear diagrams | Shear force | Shear strength</t>
  </si>
  <si>
    <t>Civil engineering | Mechanical engineering | Sciences | Materials engineering</t>
  </si>
  <si>
    <t>https://www.accessengineeringlibrary.com/content/video/V1402381085001</t>
  </si>
  <si>
    <t>Condensing Heater</t>
  </si>
  <si>
    <t>Mechanical engineering | Water cycle | Video streams | Shell and tube heat exchangers | Pipe flow | Storm sewer inlets</t>
  </si>
  <si>
    <t>Mechanical engineering | Civil engineering | Sciences | Electrical engineering | Chemical engineering | Energy engineering | Environmental engineering</t>
  </si>
  <si>
    <t>https://www.accessengineeringlibrary.com/content/video/V1402382273001</t>
  </si>
  <si>
    <t>Determination of U Value Resulting from Adding Insulation to a Wall Section</t>
  </si>
  <si>
    <t>Wall sections | Mechanical engineering | Lathes | Brick | Heat transfer coefficients</t>
  </si>
  <si>
    <t>Civil engineering | Mechanical engineering | Industrial engineering | Sciences</t>
  </si>
  <si>
    <t>https://www.accessengineeringlibrary.com/content/video/V1402382276001</t>
  </si>
  <si>
    <t>Belt Drive Video 1: Selection Parameters</t>
  </si>
  <si>
    <t>Belts | Mechanical engineering | V belts | Spur gears | Flat belts | Torque</t>
  </si>
  <si>
    <t>https://www.accessengineeringlibrary.com/content/video/V1402382278001</t>
  </si>
  <si>
    <t>Gear Video 3: Worm Gears</t>
  </si>
  <si>
    <t>Worm gears | Gears | Mechanical engineering | Shafts | Tangent | Motors</t>
  </si>
  <si>
    <t>Mechanical engineering | Mathematics | Electrical engineering | Energy engineering</t>
  </si>
  <si>
    <t>https://www.accessengineeringlibrary.com/content/video/V1402382283001</t>
  </si>
  <si>
    <t>Gear Video 2: Bevel Gears</t>
  </si>
  <si>
    <t>Bevel gears | Mechanical engineering | Differential geometry | Gears | Shafts | Torque</t>
  </si>
  <si>
    <t>Mechanical engineering | Mathematics | Sciences</t>
  </si>
  <si>
    <t>https://www.accessengineeringlibrary.com/content/video/V1402382285001</t>
  </si>
  <si>
    <t>Perry's Handbook Example 12-23 Video Solution</t>
  </si>
  <si>
    <t>M. Hariri</t>
  </si>
  <si>
    <t>Chemical engineering | Rotary dryers | Geometric equations | Gases | Particle velocity | Equations of motion</t>
  </si>
  <si>
    <t>Chemical engineering | Mathematics | Sciences | Civil engineering | Mechanical engineering</t>
  </si>
  <si>
    <t>https://www.accessengineeringlibrary.com/content/video/V1441266362001</t>
  </si>
  <si>
    <t>Perry's Handbook Example 15-1 Video Solution</t>
  </si>
  <si>
    <t>Liquid liquid extraction | Acetic acids | Chemical engineering | Mass | Solvents | Mass fraction</t>
  </si>
  <si>
    <t>Chemical engineering | Sciences | Mechanical engineering</t>
  </si>
  <si>
    <t>https://www.accessengineeringlibrary.com/content/video/V1441275932001</t>
  </si>
  <si>
    <t>Perry's Handbook Example 12-14 Video Solution</t>
  </si>
  <si>
    <t>Chemical engineering | Cooling towers | Evaporation | Flow rate | Evaporative water loss | Temperature</t>
  </si>
  <si>
    <t>Chemical engineering | Sciences | Civil engineering | Mechanical engineering | Energy engineering | Environmental engineering</t>
  </si>
  <si>
    <t>https://www.accessengineeringlibrary.com/content/video/V1441275933001</t>
  </si>
  <si>
    <t>Perry's Handbook Example 12-10 Video Solution</t>
  </si>
  <si>
    <t>Chemical engineering | Storm sewer inlets | Liquid cooling | Wet bulb temperature | Enthalpy | Cooling towers</t>
  </si>
  <si>
    <t>Chemical engineering | Civil engineering | Energy engineering | Environmental engineering | Mechanical engineering | Sciences</t>
  </si>
  <si>
    <t>https://www.accessengineeringlibrary.com/content/video/V1441275934001</t>
  </si>
  <si>
    <t>Perry's Handbook Example 12-18 Video Solution</t>
  </si>
  <si>
    <t>Vapor pressure | Psychrometric charts | Chemical engineering | Relative humidity | Humidity | Partial pressure</t>
  </si>
  <si>
    <t>Chemical engineering | Sciences | Civil engineering | Mechanical engineering | Aerospace engineering</t>
  </si>
  <si>
    <t>https://www.accessengineeringlibrary.com/content/video/V1441275935001</t>
  </si>
  <si>
    <t>Perry's Handbook Example 12-8 Video Solution</t>
  </si>
  <si>
    <t>Humidity | Chemical engineering | Psychrometric charts | Vapor pressure | Atmospheric pressure | Wet bulb temperature</t>
  </si>
  <si>
    <t>Aerospace engineering | Chemical engineering | Civil engineering | Mechanical engineering | Sciences</t>
  </si>
  <si>
    <t>https://www.accessengineeringlibrary.com/content/video/V1441275936001</t>
  </si>
  <si>
    <t>Perry's Handbook Example 12-9 Video Solution</t>
  </si>
  <si>
    <t>Chemical engineering | Psychrometry | Wet bulb temperature | Total pressure | Nitrogen | Vapor pressure</t>
  </si>
  <si>
    <t>Chemical engineering | Aerospace engineering | Civil engineering | Mechanical engineering | Sciences</t>
  </si>
  <si>
    <t>https://www.accessengineeringlibrary.com/content/video/V1441275937001</t>
  </si>
  <si>
    <t>Perry's Handbook Example 15-4 Video Solution</t>
  </si>
  <si>
    <t>Liquid liquid extraction | Chemical engineering | Wastewater | Flow rate measurement | Flow rate | Aspen</t>
  </si>
  <si>
    <t>Chemical engineering | Environmental engineering | Civil engineering | Mechanical engineering</t>
  </si>
  <si>
    <t>https://www.accessengineeringlibrary.com/content/video/V1441287617001</t>
  </si>
  <si>
    <t>Perry's Handbook Example 12-22 Video Solution</t>
  </si>
  <si>
    <t>Drying rates | Moisture content | Chemical engineering | Volume | Heat transfer coefficients | Water vapor</t>
  </si>
  <si>
    <t>https://www.accessengineeringlibrary.com/content/video/V1441287619001</t>
  </si>
  <si>
    <t>Perry's Handbook Example 12-16 Video Solution</t>
  </si>
  <si>
    <t>Drying rates | Chemical engineering | Mass | Mass balance | Moisture content | Mass transfer coefficient</t>
  </si>
  <si>
    <t>Chemical engineering | Sciences</t>
  </si>
  <si>
    <t>https://www.accessengineeringlibrary.com/content/video/V1441287620001</t>
  </si>
  <si>
    <t>Perry's Handbook Example 12-21 Video Solution</t>
  </si>
  <si>
    <t>Chemical engineering | Humidity | Moisture content | Gases | Wet bulb temperature | Drying rates</t>
  </si>
  <si>
    <t>https://www.accessengineeringlibrary.com/content/video/V1441287622001</t>
  </si>
  <si>
    <t>Perry's Handbook Example 12-20 Video Solution</t>
  </si>
  <si>
    <t>Chemical engineering | Prototyping | Wet bulb temperature | Dry bulb temperature | Vacuums | Humidity</t>
  </si>
  <si>
    <t>Chemical engineering | Business skills | Engineering management | Civil engineering | Mechanical engineering | Aerospace engineering</t>
  </si>
  <si>
    <t>https://www.accessengineeringlibrary.com/content/video/V1441287627001</t>
  </si>
  <si>
    <t>Perry's Handbook Example 12-2 Video Solution</t>
  </si>
  <si>
    <t>Chemical engineering | Relative humidity | Thermodynamic properties | Humidity | Enthalpy | Dry bulb temperature</t>
  </si>
  <si>
    <t>https://www.accessengineeringlibrary.com/content/video/V1441287628001</t>
  </si>
  <si>
    <t>Perry's Handbook Example 12-5 Video Solution</t>
  </si>
  <si>
    <t>Chemical engineering | Cooling towers | Heating load | Cooling load | Enthalpy | Quality control</t>
  </si>
  <si>
    <t>Chemical engineering | Mechanical engineering | Sciences | Engineering management | Industrial engineering</t>
  </si>
  <si>
    <t>https://www.accessengineeringlibrary.com/content/video/V1441287629001</t>
  </si>
  <si>
    <t>Perry's Handbook Example 12-1 Video Solution</t>
  </si>
  <si>
    <t>Chemical engineering | Thermodynamic properties | Psychrometric charts | Enthalpy | Dry bulb temperature | Relative humidity</t>
  </si>
  <si>
    <t>Chemical engineering | Mechanical engineering | Sciences | Aerospace engineering | Civil engineering</t>
  </si>
  <si>
    <t>https://www.accessengineeringlibrary.com/content/video/V1441287631001</t>
  </si>
  <si>
    <t>Perry's Handbook Example 12-13 Video Solution</t>
  </si>
  <si>
    <t>Chemical engineering | Cooling towers | Wet bulb temperature | Water wells | Cooling | Well water</t>
  </si>
  <si>
    <t>Chemical engineering | Civil engineering | Mechanical engineering | Sciences | Energy engineering | Environmental engineering</t>
  </si>
  <si>
    <t>https://www.accessengineeringlibrary.com/content/video/V1441301815001</t>
  </si>
  <si>
    <t>Perry's Handbook Example 12-12 Video Solution</t>
  </si>
  <si>
    <t>Horsepower | Chemical engineering | Wet bulb temperature | Cooling fans | Cooling towers</t>
  </si>
  <si>
    <t>Electrical engineering | Energy engineering | Mechanical engineering | Chemical engineering | Aerospace engineering | Civil engineering</t>
  </si>
  <si>
    <t>https://www.accessengineeringlibrary.com/content/video/V1441301817001</t>
  </si>
  <si>
    <t>Perry's Handbook Example 12-15 Video Solution</t>
  </si>
  <si>
    <t>Mass balance | Conservation of energy | Humidity | Chemical engineering | Water vapor | Enthalpy</t>
  </si>
  <si>
    <t>Chemical engineering | Sciences | Mechanical engineering | Aerospace engineering | Civil engineering</t>
  </si>
  <si>
    <t>https://www.accessengineeringlibrary.com/content/video/V1441301819001</t>
  </si>
  <si>
    <t>Perry's Handbook Example 12-11 Video Solution</t>
  </si>
  <si>
    <t>Chemical engineering | Wet bulb temperature | Cooling towers | Temperature</t>
  </si>
  <si>
    <t>https://www.accessengineeringlibrary.com/content/video/V1441301820001</t>
  </si>
  <si>
    <t>Perry's Handbook Example 12-19 Video Solution</t>
  </si>
  <si>
    <t>Chemical engineering | Psychrometric charts | Flow rate | Gas flow rate | Humidity | Air density</t>
  </si>
  <si>
    <t>Chemical engineering | Civil engineering | Mechanical engineering | Aerospace engineering</t>
  </si>
  <si>
    <t>https://www.accessengineeringlibrary.com/content/video/V1441301821001</t>
  </si>
  <si>
    <t>Perry's Handbook Example 12-17 Video Solution</t>
  </si>
  <si>
    <t>Chemical engineering | Mass balance | Humidity | Conservation of energy | Water vapor | Relative humidity</t>
  </si>
  <si>
    <t>Chemical engineering | Sciences | Aerospace engineering | Civil engineering | Mechanical engineering</t>
  </si>
  <si>
    <t>https://www.accessengineeringlibrary.com/content/video/V1441301822001</t>
  </si>
  <si>
    <t>Perry's Handbook Example 12-7 Video Solution</t>
  </si>
  <si>
    <t>Chemical engineering | Enthalpy | Dew point | Water vapor | Dry bulb temperature | Atmospheric pressure</t>
  </si>
  <si>
    <t>https://www.accessengineeringlibrary.com/content/video/V1441301823001</t>
  </si>
  <si>
    <t>Perry's Handbook Example 12-4 Video Solution</t>
  </si>
  <si>
    <t>Chemical engineering | Moisture content | Cooling load | Cooling | Air streams | Enthalpy</t>
  </si>
  <si>
    <t>Chemical engineering | Mechanical engineering | Aerospace engineering | Civil engineering | Sciences</t>
  </si>
  <si>
    <t>https://www.accessengineeringlibrary.com/content/video/V1441301825001</t>
  </si>
  <si>
    <t>Perry's Handbook Example 12-3 Video Solution</t>
  </si>
  <si>
    <t>Chemical engineering | Enthalpy | Thermodynamic properties | Humidity | Evaporative cooling | Dry bulb temperature</t>
  </si>
  <si>
    <t>https://www.accessengineeringlibrary.com/content/video/V1441301826001</t>
  </si>
  <si>
    <t>Perry's Handbook Example 12-6 Video Solution</t>
  </si>
  <si>
    <t>Chemical engineering | Air streams | Heating load | Air dryers | Enthalpy | Recirculating air</t>
  </si>
  <si>
    <t>https://www.accessengineeringlibrary.com/content/video/V1441327345001</t>
  </si>
  <si>
    <t>Perry's Handbook Example 12-24 Video Solution</t>
  </si>
  <si>
    <t>Chemical engineering | Thermodynamic efficiency | Radiation | Drying rates | Convective heat transfer | Slurries</t>
  </si>
  <si>
    <t>https://www.accessengineeringlibrary.com/content/video/V1450345433001</t>
  </si>
  <si>
    <t>Perry's Handbook Example 15-2 Video Solution</t>
  </si>
  <si>
    <t>Liquid liquid extraction | Acetic acids | Chemical engineering | Solubility | Mass | Prime numbers</t>
  </si>
  <si>
    <t>Chemical engineering | Sciences | Mathematics</t>
  </si>
  <si>
    <t>https://www.accessengineeringlibrary.com/content/video/V1478288925001</t>
  </si>
  <si>
    <t>Perry's Handbook Example 15-3 Video Solution</t>
  </si>
  <si>
    <t>Chemical engineering | Liquid liquid extraction</t>
  </si>
  <si>
    <t>https://www.accessengineeringlibrary.com/content/video/V1478288927001</t>
  </si>
  <si>
    <t>Plastic Collapse Load for a Fixed-Fixed Beam</t>
  </si>
  <si>
    <t>Roark's Formulas for Stress and Strain, Eighth Edition|Roark's Formulas for Stress and Strain, Ninth Edition</t>
  </si>
  <si>
    <t>9780071742474|9781260453751</t>
  </si>
  <si>
    <t>Polymers | Structural beams | Hinges | Yield stress | Circles | Geometric properties of areas</t>
  </si>
  <si>
    <t>Chemical engineering | Materials engineering | Sciences | Civil engineering | Mechanical engineering | Mathematics</t>
  </si>
  <si>
    <t>https://www.accessengineeringlibrary.com/content/video/V1836229548001</t>
  </si>
  <si>
    <t>Stress and Deformation in a Circular Arch</t>
  </si>
  <si>
    <t>Arches | Deformation | Stress | Deflection | Curved beams | Bending stress</t>
  </si>
  <si>
    <t>Civil engineering | Industrial engineering | Materials engineering | Mechanical engineering</t>
  </si>
  <si>
    <t>https://www.accessengineeringlibrary.com/content/video/V1836229553001</t>
  </si>
  <si>
    <t>Maximum Stress in a Curved Beam</t>
  </si>
  <si>
    <t>Curved beams | Bending stress | Allowable bending stress | Geometric properties of areas | Ellipses | Geometric equations</t>
  </si>
  <si>
    <t>https://www.accessengineeringlibrary.com/content/video/V1836229556001</t>
  </si>
  <si>
    <t>Computing the Bending Stress in a Composite Beam</t>
  </si>
  <si>
    <t>Composite beams | Bending stress | Composites | Stress | Steel | Centers of mass</t>
  </si>
  <si>
    <t>Civil engineering | Mechanical engineering | Materials engineering | Sciences</t>
  </si>
  <si>
    <t>https://www.accessengineeringlibrary.com/content/video/V1836229557001</t>
  </si>
  <si>
    <t>Combined Stress</t>
  </si>
  <si>
    <t>Combined stress | Shear stress | Pipes | Maximum shear stress | Tensile stress | Hoop stress</t>
  </si>
  <si>
    <t>https://www.accessengineeringlibrary.com/content/video/V1836229560001</t>
  </si>
  <si>
    <t>Straight Beams Elastically Stressed: Example 2</t>
  </si>
  <si>
    <t>Stress | Deflection | Cantilevers | Energy methods | Superposition | Sine</t>
  </si>
  <si>
    <t>https://www.accessengineeringlibrary.com/content/video/V1836229561001</t>
  </si>
  <si>
    <t>Analysis of a Rigid Frame</t>
  </si>
  <si>
    <t>Material properties | Geometric properties of areas | Thermal expansion coefficient | Thermal expansion | Geometric equations | Superposition</t>
  </si>
  <si>
    <t>Materials engineering | Civil engineering | Chemical engineering | Sciences | Mathematics | Mechanical engineering</t>
  </si>
  <si>
    <t>https://www.accessengineeringlibrary.com/content/video/V1836229563001</t>
  </si>
  <si>
    <t>Torsion of a Steel Tube</t>
  </si>
  <si>
    <t>Torsion | Steel | Structural members | K value</t>
  </si>
  <si>
    <t>Civil engineering | Mechanical engineering | Materials engineering | Chemical engineering | Sciences</t>
  </si>
  <si>
    <t>https://www.accessengineeringlibrary.com/content/video/V1836243646001</t>
  </si>
  <si>
    <t>Torsion of a Spruce Member</t>
  </si>
  <si>
    <t>Torsion | Spruce | Structural members | Compressive stress | Torque | Stress effects</t>
  </si>
  <si>
    <t>https://www.accessengineeringlibrary.com/content/video/V1836243648001</t>
  </si>
  <si>
    <t>Direct Bearing and Shear Stress</t>
  </si>
  <si>
    <t>Bearings | Shear stress | Deformation | Compressive stress | Ellipses | Cosine</t>
  </si>
  <si>
    <t>Mechanical engineering | Civil engineering | Industrial engineering | Materials engineering | Mathematics</t>
  </si>
  <si>
    <t>https://www.accessengineeringlibrary.com/content/video/V1836243649001</t>
  </si>
  <si>
    <t>Bending Stress in a Beam of Variable Depth</t>
  </si>
  <si>
    <t>Bending stress | Bending moment diagrams | Structural beams | Static equilibrium | Moment of inertia | Flexure</t>
  </si>
  <si>
    <t>https://www.accessengineeringlibrary.com/content/video/V1836243651001</t>
  </si>
  <si>
    <t>Bending Stress in a Beam Not Loaded in a Plane of Symmetry</t>
  </si>
  <si>
    <t>Bending stress | Torsion | Torque | Tension | Superposition | Stress</t>
  </si>
  <si>
    <t>Civil engineering | Mechanical engineering | Sciences</t>
  </si>
  <si>
    <t>https://www.accessengineeringlibrary.com/content/video/V1836243656001</t>
  </si>
  <si>
    <t>Composite Beams and Bimetallic Strips</t>
  </si>
  <si>
    <t>Composite beams | Geometric properties of areas | Geometric equations | Thermal expansion coefficient | Thermal expansion | Composites</t>
  </si>
  <si>
    <t>Civil engineering | Mechanical engineering | Mathematics | Materials engineering | Chemical engineering | Sciences</t>
  </si>
  <si>
    <t>https://www.accessengineeringlibrary.com/content/video/V1836243658001</t>
  </si>
  <si>
    <t>Stress in a Curved Beam</t>
  </si>
  <si>
    <t>Curved beams | Stress | Normal stress | Bending stress | Geometric properties of areas | Axial load</t>
  </si>
  <si>
    <t>https://www.accessengineeringlibrary.com/content/video/V1836246972001</t>
  </si>
  <si>
    <t>Deflection of Curved Beams: Castigliano's Second Theorem</t>
  </si>
  <si>
    <t>Deflection | Castigliano's second theorem | Curved beams | Arches | Thrust | Sine</t>
  </si>
  <si>
    <t>Civil engineering | Mechanical engineering | Aerospace engineering | Chemical engineering | Sciences | Mathematics</t>
  </si>
  <si>
    <t>https://www.accessengineeringlibrary.com/content/video/V1836246973001</t>
  </si>
  <si>
    <t>Analysis of a Curved Beam using Table 9.3</t>
  </si>
  <si>
    <t>Curved beams | Arches | Deflection | Sine | Geometric equations | Deformation</t>
  </si>
  <si>
    <t>Civil engineering | Mechanical engineering | Mathematics | Industrial engineering | Materials engineering</t>
  </si>
  <si>
    <t>https://www.accessengineeringlibrary.com/content/video/V1836246974001</t>
  </si>
  <si>
    <t>Distributed Load on a Steel Disc</t>
  </si>
  <si>
    <t>Steel | Bending stress | Deflection | Poisson ratio | Elastic modulus | Quality control</t>
  </si>
  <si>
    <t>Civil engineering | Materials engineering | Mechanical engineering | Engineering management | Industrial engineering</t>
  </si>
  <si>
    <t>https://www.accessengineeringlibrary.com/content/video/V1836246976001</t>
  </si>
  <si>
    <t>Bolted Tailing Lug Calculations</t>
  </si>
  <si>
    <t>Tailings | Fasteners | Bolted steel connections | Bolts | Shear load | Centers of mass</t>
  </si>
  <si>
    <t>Environmental engineering | Civil engineering | Mechanical engineering | Sciences</t>
  </si>
  <si>
    <t>https://www.accessengineeringlibrary.com/content/video/V1836246978001</t>
  </si>
  <si>
    <t>Three Element Rectangular Strain Gage Data Reduction</t>
  </si>
  <si>
    <t>Strain gages | Principal stress | Material properties | Shear stress | Normal stress | Local stress</t>
  </si>
  <si>
    <t>https://www.accessengineeringlibrary.com/content/video/V1836246981001</t>
  </si>
  <si>
    <t>Straight Beams Elastically Stressed: Example 1</t>
  </si>
  <si>
    <t>Stress | Compressive stress | Shear stress | Tensile stress | Bending stress | Steel</t>
  </si>
  <si>
    <t>https://www.accessengineeringlibrary.com/content/video/V1836246984001</t>
  </si>
  <si>
    <t>Analysis of a Rigid Frame: Modified Corner Stiffness</t>
  </si>
  <si>
    <t>Deformation | Deformable bodies | Geometric properties of areas | Superposition | Shear modulus | Material properties</t>
  </si>
  <si>
    <t>Industrial engineering | Materials engineering | Civil engineering | Mechanical engineering</t>
  </si>
  <si>
    <t>https://www.accessengineeringlibrary.com/content/video/V1836246987001</t>
  </si>
  <si>
    <t>Beam on an Elastic Foundation</t>
  </si>
  <si>
    <t>Structural beams | Bending stress | Stress | Steel | Sine | Cosine</t>
  </si>
  <si>
    <t>Civil engineering | Mechanical engineering | Materials engineering | Mathematics</t>
  </si>
  <si>
    <t>https://www.accessengineeringlibrary.com/content/video/V1836246988001</t>
  </si>
  <si>
    <t>Computing the Deflection in a Truss</t>
  </si>
  <si>
    <t>Trusses | Deflection | Energy methods | Loaded members | Tension | Steel</t>
  </si>
  <si>
    <t>https://www.accessengineeringlibrary.com/content/video/V1836395699001</t>
  </si>
  <si>
    <t>Analysis of an Indeterminate Truss</t>
  </si>
  <si>
    <t>Statically indeterminate structures | Trusses | Energy methods | Loaded members | Tension | Steel</t>
  </si>
  <si>
    <t>https://www.accessengineeringlibrary.com/content/video/V1836403149001</t>
  </si>
  <si>
    <t>Analysis of a Thick Curved Beam Using Energy Methods</t>
  </si>
  <si>
    <t>Curved beams | Energy methods | Deformation | Deflection | Arches | Beam theory</t>
  </si>
  <si>
    <t>Civil engineering | Mechanical engineering | Industrial engineering | Materials engineering</t>
  </si>
  <si>
    <t>https://www.accessengineeringlibrary.com/content/video/V1836413537001</t>
  </si>
  <si>
    <t>Analysis of a Beam Under Transverse and Axial Compressive Loading</t>
  </si>
  <si>
    <t>Axial load | Axial members | Deflection | Axial stress | Bending stress | Bending moment</t>
  </si>
  <si>
    <t>https://www.accessengineeringlibrary.com/content/video/V1836413539001</t>
  </si>
  <si>
    <t>Computing the Maximum Deflection and Stress in an Indeterminate Beam</t>
  </si>
  <si>
    <t>Deflection | Thermal stresses | Elastic modulus | Thermal expansion coefficient | Thermal expansion | Superposition</t>
  </si>
  <si>
    <t>https://www.accessengineeringlibrary.com/content/video/V1836413540001</t>
  </si>
  <si>
    <t>Welding Example: Member Subject to Bending</t>
  </si>
  <si>
    <t>Welding | Welded connections | Weld strength | Steel | Plain carbon steel | Electrodes</t>
  </si>
  <si>
    <t>Industrial engineering | Materials engineering | Civil engineering | Electrical engineering</t>
  </si>
  <si>
    <t>https://www.accessengineeringlibrary.com/content/video/V1838563025001</t>
  </si>
  <si>
    <t>Welding Example: Member Subject to Shear</t>
  </si>
  <si>
    <t>Welding | Welded connections | Weld strength | Fillet welds | Electrodes | Centers of mass</t>
  </si>
  <si>
    <t>Industrial engineering | Materials engineering | Civil engineering | Electrical engineering | Sciences</t>
  </si>
  <si>
    <t>https://www.accessengineeringlibrary.com/content/video/V1838565654001</t>
  </si>
  <si>
    <t>Stress in a Curved Hollow Box Beam</t>
  </si>
  <si>
    <t>Stress | Bending stress | Shear stress | Torsion | Curved beams | Torque</t>
  </si>
  <si>
    <t>https://www.accessengineeringlibrary.com/content/video/V1840957023001</t>
  </si>
  <si>
    <t>Low Pass Butterworth Filter Design: Example 1</t>
  </si>
  <si>
    <t>Standard Handbook of Electronic Engineering, Fifth Edition</t>
  </si>
  <si>
    <t>Carlotta Berry</t>
  </si>
  <si>
    <t>Butterworth filters | Electronics engineering | Prototyping | Inductors | Circuits</t>
  </si>
  <si>
    <t>Electrical engineering | Business skills | Engineering management</t>
  </si>
  <si>
    <t>https://www.accessengineeringlibrary.com/content/video/V1873289102001</t>
  </si>
  <si>
    <t>Low Pass Butterworth Filter Design: Example 2</t>
  </si>
  <si>
    <t>Butterworth filters | Electronics engineering | Cutoff frequency | Prototyping | Electronic filters | Capacitors</t>
  </si>
  <si>
    <t>Electrical engineering | Energy engineering | Mechanical engineering | Business skills | Engineering management</t>
  </si>
  <si>
    <t>https://www.accessengineeringlibrary.com/content/video/V1873289103001</t>
  </si>
  <si>
    <t>Bandpass Chebyshev Filter</t>
  </si>
  <si>
    <t>Chebyshev filters | Electronics engineering | Capacitors | Inductors | Band pass filters | Prototyping</t>
  </si>
  <si>
    <t>https://www.accessengineeringlibrary.com/content/video/V1873289106001</t>
  </si>
  <si>
    <t>Band-Elimination Chebyshev Filter</t>
  </si>
  <si>
    <t>Chebyshev filters | Electronics engineering | Capacitors | Inductors | Prototyping | Resistors</t>
  </si>
  <si>
    <t>https://www.accessengineeringlibrary.com/content/video/V1873289109001</t>
  </si>
  <si>
    <t>Attenuator PI Network Design</t>
  </si>
  <si>
    <t>Attenuators | Electronics engineering | Impedance | Load loss | Voltage sources | Process design</t>
  </si>
  <si>
    <t>Electrical engineering | Materials engineering | Sciences | Energy engineering | Mechanical engineering | Industrial engineering</t>
  </si>
  <si>
    <t>https://www.accessengineeringlibrary.com/content/video/V1873289111001</t>
  </si>
  <si>
    <t>System Stability</t>
  </si>
  <si>
    <t>System stability | Electronics engineering | Feedback control systems | Poles of a transfer function | Open loop systems | Step response</t>
  </si>
  <si>
    <t>Electrical engineering | Mechanical engineering | Mathematics | Civil engineering</t>
  </si>
  <si>
    <t>https://www.accessengineeringlibrary.com/content/video/V1873289115001</t>
  </si>
  <si>
    <t>Scaling Components on Prototype Filters</t>
  </si>
  <si>
    <t>Prototyping | Electronics engineering | Capacitors | Resistors | Electronic filters | Voltage sources</t>
  </si>
  <si>
    <t>Business skills | Engineering management | Electrical engineering | Energy engineering | Mechanical engineering</t>
  </si>
  <si>
    <t>https://www.accessengineeringlibrary.com/content/video/V1873312999001</t>
  </si>
  <si>
    <t>Low Pass Bessel Filter Design: Example 1</t>
  </si>
  <si>
    <t>Electronics engineering | Delay time | Electronic filters | Prototyping | Voltage sources | Resistors</t>
  </si>
  <si>
    <t>Electrical engineering | Mechanical engineering | Business skills | Engineering management | Energy engineering</t>
  </si>
  <si>
    <t>https://www.accessengineeringlibrary.com/content/video/V1873313000001</t>
  </si>
  <si>
    <t>High Pass Chebyshev Filter Design: Example 1</t>
  </si>
  <si>
    <t>Chebyshev filters | Electronics engineering | Electronic filters | Voltage sources | Inductors | High pass filters</t>
  </si>
  <si>
    <t>https://www.accessengineeringlibrary.com/content/video/V1873313002001</t>
  </si>
  <si>
    <t>High Pass Chebyshev Filter Design: Example 2</t>
  </si>
  <si>
    <t>Chebyshev filters | Electronics engineering | Prototyping | Capacitors | Inductors | High pass filters</t>
  </si>
  <si>
    <t>https://www.accessengineeringlibrary.com/content/video/V1873313005001</t>
  </si>
  <si>
    <t>Band-Elimination Butterworth Filter</t>
  </si>
  <si>
    <t>Butterworth filters | Electronics engineering | Capacitors | Inductors | Prototyping | Series inductors</t>
  </si>
  <si>
    <t>Electrical engineering | Business skills | Engineering management | Energy engineering | Mechanical engineering</t>
  </si>
  <si>
    <t>https://www.accessengineeringlibrary.com/content/video/V1873313008001</t>
  </si>
  <si>
    <t>Controller Sensitivity</t>
  </si>
  <si>
    <t>Electronics engineering | Sensors | Low pass filters | Bandwidth | First order systems | Electronic filters</t>
  </si>
  <si>
    <t>Electrical engineering | Civil engineering | Mathematics | Mechanical engineering</t>
  </si>
  <si>
    <t>https://www.accessengineeringlibrary.com/content/video/V1873313012001</t>
  </si>
  <si>
    <t>LQR Regulator Problem</t>
  </si>
  <si>
    <t>Regulators | Electronics engineering | Control systems | Algebra | Performance requirements | Feedback control systems</t>
  </si>
  <si>
    <t>Electrical engineering | Mechanical engineering | Mathematics | Industrial engineering</t>
  </si>
  <si>
    <t>https://www.accessengineeringlibrary.com/content/video/V1873313016001</t>
  </si>
  <si>
    <t>Scaling Cut Off frequency on Prototype Filters</t>
  </si>
  <si>
    <t>Prototyping | Electronics engineering | Cutoff frequency | Circuit design | Capacitors | Capacitance</t>
  </si>
  <si>
    <t>Business skills | Engineering management | Electrical engineering | Energy engineering | Mechanical engineering | Materials engineering | Sciences</t>
  </si>
  <si>
    <t>https://www.accessengineeringlibrary.com/content/video/V1873326699001</t>
  </si>
  <si>
    <t>Low Pass Bessel Filter Design: Example 2</t>
  </si>
  <si>
    <t>Electronics engineering | Delay time | Electronic filters | Prototyping | Series inductors | Capacitors</t>
  </si>
  <si>
    <t>https://www.accessengineeringlibrary.com/content/video/V1873326704001</t>
  </si>
  <si>
    <t>Bandpass Butterworth Filter</t>
  </si>
  <si>
    <t>Butterworth filters | Electronics engineering | Capacitors | Inductors | Prototyping | Parallel inductors</t>
  </si>
  <si>
    <t>https://www.accessengineeringlibrary.com/content/video/V1873326711001</t>
  </si>
  <si>
    <t>Attenuator Bridged-T Network Design</t>
  </si>
  <si>
    <t>Attenuators | Electronics engineering | Impedance | Load loss | Voltage sources | Signal levels</t>
  </si>
  <si>
    <t>Electrical engineering | Materials engineering | Sciences | Energy engineering | Mechanical engineering</t>
  </si>
  <si>
    <t>https://www.accessengineeringlibrary.com/content/video/V1873326714001</t>
  </si>
  <si>
    <t>Eigenvalue Assignment Design</t>
  </si>
  <si>
    <t>Eigenvalues | Electronics engineering | Control systems | Characteristic equation | Settling time | State space representation</t>
  </si>
  <si>
    <t>Mathematics | Mechanical engineering | Electrical engineering</t>
  </si>
  <si>
    <t>https://www.accessengineeringlibrary.com/content/video/V1873326715001</t>
  </si>
  <si>
    <t>Phase and Gain Margin</t>
  </si>
  <si>
    <t>Phase margin | Gain margin | Bode plots | Electronics engineering | Control systems | Magnitude phase plot</t>
  </si>
  <si>
    <t>Electrical engineering | Mechanical engineering | Mathematics</t>
  </si>
  <si>
    <t>https://www.accessengineeringlibrary.com/content/video/V1873326722001</t>
  </si>
  <si>
    <t>Motion Control Example</t>
  </si>
  <si>
    <t>Control systems | Electronics engineering | Settling time | Steady state error | Step response | Root locus method</t>
  </si>
  <si>
    <t>Electrical engineering | Mechanical engineering | Civil engineering | Mathematics</t>
  </si>
  <si>
    <t>https://www.accessengineeringlibrary.com/content/video/V1873340325001</t>
  </si>
  <si>
    <t>Schaum's Probability &amp; Statistics Supplementary Problem 7.77 Video Solution</t>
  </si>
  <si>
    <t>Schaum's Outline of Probability and Statistics, Fourth Edition</t>
  </si>
  <si>
    <t>Craig Downing</t>
  </si>
  <si>
    <t>Statistics | Probability | Hypothesis testing | Mean | T tests | Null hypothesis</t>
  </si>
  <si>
    <t>https://www.accessengineeringlibrary.com/content/video/V1902329124001</t>
  </si>
  <si>
    <t>Schaum's Probability &amp; Statistics Supplementary Problem 5.54 Video Solution</t>
  </si>
  <si>
    <t>Probability | Statistics | Normal distribution | Mean | Standard deviation | Manufacturing</t>
  </si>
  <si>
    <t>Computer science | Mathematics | Industrial engineering</t>
  </si>
  <si>
    <t>https://www.accessengineeringlibrary.com/content/video/V1902329126001</t>
  </si>
  <si>
    <t>Schaum's Probability &amp; Statistics Supplementary Problem 4.87 Video Solution</t>
  </si>
  <si>
    <t>Probability | Statistics | Probability events | Binomial distributions | Mean</t>
  </si>
  <si>
    <t>https://www.accessengineeringlibrary.com/content/video/V1902329127001</t>
  </si>
  <si>
    <t>Schaum's Probability &amp; Statistics Supplementary Problem 3.53 Video Solution</t>
  </si>
  <si>
    <t>Statistics | Probability | Expectation | Continuous random variables | Expected value | Random variables</t>
  </si>
  <si>
    <t>https://www.accessengineeringlibrary.com/content/video/V1902329129001</t>
  </si>
  <si>
    <t>Schaum's Probability &amp; Statistics Supplementary Problem 2.56 Video Solution</t>
  </si>
  <si>
    <t>Probability | Statistics | Continuous random variables | Probability density function | Algebra</t>
  </si>
  <si>
    <t>https://www.accessengineeringlibrary.com/content/video/V1902329131001</t>
  </si>
  <si>
    <t>Schaum's Probability &amp; Statistics Supplementary Problem 1.83 Video Solution</t>
  </si>
  <si>
    <t>Probability | Statistics | Conditional probability | Probability events | Algebra</t>
  </si>
  <si>
    <t>https://www.accessengineeringlibrary.com/content/video/V1902329134001</t>
  </si>
  <si>
    <t>Schaum's Probability &amp; Statistics Supplementary Problem 9.24 Video Solution</t>
  </si>
  <si>
    <t>Statistics | Probability | Null hypothesis | Mean | Analysis of variance | Hypothesis testing</t>
  </si>
  <si>
    <t>https://www.accessengineeringlibrary.com/content/video/V1902354931001</t>
  </si>
  <si>
    <t>Schaum's Probability &amp; Statistics Supplementary Problem 7.84 Video Solution</t>
  </si>
  <si>
    <t>Statistics | Probability | Hypothesis testing | Chi-squared distribution | Standard deviation | Variance</t>
  </si>
  <si>
    <t>https://www.accessengineeringlibrary.com/content/video/V1902354932001</t>
  </si>
  <si>
    <t>Schaum's Probability &amp; Statistics Supplementary Problem 6.43 Video Solution</t>
  </si>
  <si>
    <t>Statistics | Probability | Confidence intervals | Mean | Standard deviation | Normal distribution</t>
  </si>
  <si>
    <t>https://www.accessengineeringlibrary.com/content/video/V1902354933001</t>
  </si>
  <si>
    <t>Schaum's Probability &amp; Statistics Supplementary Problem 4.92 Video Solution</t>
  </si>
  <si>
    <t>Probability | Statistics | Probability events | Binomial distributions | Marble | Factorial</t>
  </si>
  <si>
    <t>Computer science | Mathematics | Civil engineering | Sciences</t>
  </si>
  <si>
    <t>https://www.accessengineeringlibrary.com/content/video/V1902354934001</t>
  </si>
  <si>
    <t>Schaum's Probability &amp; Statistics Supplementary Problem 1.90 Video Solution</t>
  </si>
  <si>
    <t>Probability | Statistics | Quadratic equations | Probability events | Sample spaces</t>
  </si>
  <si>
    <t>https://www.accessengineeringlibrary.com/content/video/V1902354939001</t>
  </si>
  <si>
    <t>Schaum's Probability &amp; Statistics Supplementary Problem 1.52 Video Solution</t>
  </si>
  <si>
    <t>Probability | Statistics | Conditional probability | Probability events | Sample spaces</t>
  </si>
  <si>
    <t>https://www.accessengineeringlibrary.com/content/video/V1902354941001</t>
  </si>
  <si>
    <t>Schaum's Probability &amp; Statistics Supplementary Problem 10.34 Video Solution</t>
  </si>
  <si>
    <t>Statistics | Probability | Hypothesis testing | Mean | Variance | Standard deviation</t>
  </si>
  <si>
    <t>https://www.accessengineeringlibrary.com/content/video/V1902367026001</t>
  </si>
  <si>
    <t>Schaum's Probability &amp; Statistics Supplementary Problem 8.64/8.65 Video Solution</t>
  </si>
  <si>
    <t>Statistics | Probability | Equation of a line | Scatterplots | Graphical data</t>
  </si>
  <si>
    <t>https://www.accessengineeringlibrary.com/content/video/V1902367029001</t>
  </si>
  <si>
    <t>Schaum's Probability &amp; Statistics Supplementary Problem 6.46 Video Solution</t>
  </si>
  <si>
    <t>Statistics | Probability | Confidence intervals | Standard deviation</t>
  </si>
  <si>
    <t>https://www.accessengineeringlibrary.com/content/video/V1902367030001</t>
  </si>
  <si>
    <t>Schaum's Probability &amp; Statistics Supplementary Problem 5.51 Video Solution</t>
  </si>
  <si>
    <t>Statistics | Probability | Standard deviation | Mean | Normal distribution | Bearings</t>
  </si>
  <si>
    <t>Computer science | Mathematics | Mechanical engineering</t>
  </si>
  <si>
    <t>https://www.accessengineeringlibrary.com/content/video/V1902367031001</t>
  </si>
  <si>
    <t>Schaum's Probability &amp; Statistics Supplementary Problem 3.75 Video Solution</t>
  </si>
  <si>
    <t>Statistics | Probability | Continuous random variables | Expected value | Integrals | Variance</t>
  </si>
  <si>
    <t>https://www.accessengineeringlibrary.com/content/video/V1902367032001</t>
  </si>
  <si>
    <t>Schaum's Probability &amp; Statistics Supplementary Problem 3.52 Video Solution</t>
  </si>
  <si>
    <t>https://www.accessengineeringlibrary.com/content/video/V1902367033001</t>
  </si>
  <si>
    <t>Schaum's Probability &amp; Statistics Supplementary Problem 2.47 Video Solution</t>
  </si>
  <si>
    <t>Statistics | Probability | Continuous random variables | Random variables | Probability density function | Integrals</t>
  </si>
  <si>
    <t>https://www.accessengineeringlibrary.com/content/video/V1902367035001</t>
  </si>
  <si>
    <t>Schaum's Probability &amp; Statistics Supplementary Problem 1.63 Video Solution</t>
  </si>
  <si>
    <t>Probability | Statistics | Factorial | Algebra | Statistical values | Quadratic equations</t>
  </si>
  <si>
    <t>https://www.accessengineeringlibrary.com/content/video/V1902367037001</t>
  </si>
  <si>
    <t>Phasor Analysis Example 1</t>
  </si>
  <si>
    <t>AC circuit analysis | Electricity | Electrical engineering | Kirchhoff's current law | Voltage | Circuit analysis</t>
  </si>
  <si>
    <t>Electrical engineering | Sciences</t>
  </si>
  <si>
    <t>https://www.accessengineeringlibrary.com/content/video/V1931803546001</t>
  </si>
  <si>
    <t>AC Power: Example 1</t>
  </si>
  <si>
    <t>AC power | Reactive power | Electricity | Electrical engineering | Conservation of energy | AC circuit analysis</t>
  </si>
  <si>
    <t>Electrical engineering | Energy engineering | Mechanical engineering | Sciences | Chemical engineering</t>
  </si>
  <si>
    <t>https://www.accessengineeringlibrary.com/content/video/V1931803550001</t>
  </si>
  <si>
    <t>Laplace Analysis: Example 2</t>
  </si>
  <si>
    <t>Electricity | Electrical engineering | Laplace transform | Circuit analysis | Sine | Frequency domains</t>
  </si>
  <si>
    <t>Sciences | Electrical engineering | Mechanical engineering | Mathematics</t>
  </si>
  <si>
    <t>https://www.accessengineeringlibrary.com/content/video/V1931803551001</t>
  </si>
  <si>
    <t>Energy Conversions using Table 1-25: Video 1</t>
  </si>
  <si>
    <t>Standard Handbook for Electrical Engineers, Seventeenth Edition|Standard Handbook for Electrical Engineers, Sixteenth Edition</t>
  </si>
  <si>
    <t>9781259642586|9780071762328</t>
  </si>
  <si>
    <t>Energy conversion systems | Electricity | Electrical engineering | Batteries | Energy measurement | Watts</t>
  </si>
  <si>
    <t>Electrical engineering | Energy engineering | Mechanical engineering | Sciences</t>
  </si>
  <si>
    <t>https://www.accessengineeringlibrary.com/content/video/V1931831086001</t>
  </si>
  <si>
    <t>Phasor Analysis Example 2</t>
  </si>
  <si>
    <t>AC circuit analysis | Voltage | Electricity | Electrical engineering | Kirchhoff's voltage law | Circuit analysis</t>
  </si>
  <si>
    <t>https://www.accessengineeringlibrary.com/content/video/V1931831087001</t>
  </si>
  <si>
    <t>AC Power: Example 2</t>
  </si>
  <si>
    <t>AC power | Electricity | Electrical engineering | Maximum power transfer theorem | AC circuit analysis | Kirchhoff's current law</t>
  </si>
  <si>
    <t>https://www.accessengineeringlibrary.com/content/video/V1931831088001</t>
  </si>
  <si>
    <t>Voltage Drop for an AC System</t>
  </si>
  <si>
    <t>Voltage drop | Alternating current | Electricity | Electrical engineering | Voltage regulation | Line voltage</t>
  </si>
  <si>
    <t>Sciences | Electrical engineering | Energy engineering | Mechanical engineering</t>
  </si>
  <si>
    <t>https://www.accessengineeringlibrary.com/content/video/V1931831091001</t>
  </si>
  <si>
    <t>Balanced AC System with Delta-Connected Load</t>
  </si>
  <si>
    <t>Electricity | Electrical engineering | Voltage drop | Voltage regulation | Load regulation | Alternating current</t>
  </si>
  <si>
    <t>https://www.accessengineeringlibrary.com/content/video/V1931831096001</t>
  </si>
  <si>
    <t>I2R loss for a DC System</t>
  </si>
  <si>
    <t>Electricity | Electrical engineering | Circuits | Voltage regulation | Voltage drop | Direct current</t>
  </si>
  <si>
    <t>https://www.accessengineeringlibrary.com/content/video/V1931831111001</t>
  </si>
  <si>
    <t>Energy Conversions using Table 1-25: Video 2</t>
  </si>
  <si>
    <t>Energy conversion systems | Electricity | Electrical engineering | Voltage measurement | Watts | Circuit analysis</t>
  </si>
  <si>
    <t>https://www.accessengineeringlibrary.com/content/video/V1931838137001</t>
  </si>
  <si>
    <t>Thevenin and Norton Equivalents: Video 1</t>
  </si>
  <si>
    <t>Thevenin's theorem | Norton's theorem | Circuits | Electricity | Electrical engineering | Resistors</t>
  </si>
  <si>
    <t>https://www.accessengineeringlibrary.com/content/video/V1931838139001</t>
  </si>
  <si>
    <t>Laplace Analysis: Example 1</t>
  </si>
  <si>
    <t>Electricity | Electrical engineering | Laplace transform | Voltage | Direct current | DC circuit analysis</t>
  </si>
  <si>
    <t>https://www.accessengineeringlibrary.com/content/video/V1931838140001</t>
  </si>
  <si>
    <t>Conductor Size for a DC System</t>
  </si>
  <si>
    <t>Electric conductors | Electricity | Electrical engineering | Voltage drop | Direct current | Electric power systems</t>
  </si>
  <si>
    <t>Electrical engineering | Sciences | Energy engineering | Mechanical engineering</t>
  </si>
  <si>
    <t>https://www.accessengineeringlibrary.com/content/video/V1931838141001</t>
  </si>
  <si>
    <t>I2R loss for an AC System</t>
  </si>
  <si>
    <t>Electricity | Electrical engineering | Power factor | Apparent power | Impedance | Cosine</t>
  </si>
  <si>
    <t>Sciences | Electrical engineering | Energy engineering | Mechanical engineering | Materials engineering | Mathematics</t>
  </si>
  <si>
    <t>https://www.accessengineeringlibrary.com/content/video/V1931838143001</t>
  </si>
  <si>
    <t>Unbalanced AC System with Delta-Connected Load</t>
  </si>
  <si>
    <t>Electricity | Electrical engineering | Electric power systems | Watts | Reactive power | Impedance</t>
  </si>
  <si>
    <t>Sciences | Electrical engineering | Energy engineering | Mechanical engineering | Materials engineering</t>
  </si>
  <si>
    <t>https://www.accessengineeringlibrary.com/content/video/V1931838147001</t>
  </si>
  <si>
    <t>Thevenin and Norton Equivalents: Video 2</t>
  </si>
  <si>
    <t>Thevenin's theorem | Norton's theorem | Circuits | Electricity | Electrical engineering | Controlled sources</t>
  </si>
  <si>
    <t>https://www.accessengineeringlibrary.com/content/video/V1931838149001</t>
  </si>
  <si>
    <t>Length Conversions using Table 1-15: Video 2</t>
  </si>
  <si>
    <t>Electricity | Electrical engineering | Speed of light | Signal conditioning</t>
  </si>
  <si>
    <t>Sciences | Electrical engineering</t>
  </si>
  <si>
    <t>https://www.accessengineeringlibrary.com/content/video/V1931838150001</t>
  </si>
  <si>
    <t>Length Conversions using Table 1-15: Video 1</t>
  </si>
  <si>
    <t>https://www.accessengineeringlibrary.com/content/video/V1931854273001</t>
  </si>
  <si>
    <t>Voltage Drop for a DC System</t>
  </si>
  <si>
    <t>Voltage drop | Direct current | Electricity | Electrical engineering | Voltage regulation | Voltage</t>
  </si>
  <si>
    <t>https://www.accessengineeringlibrary.com/content/video/V1931854275001</t>
  </si>
  <si>
    <t>Unbalanced AC System with Y-Connected Load</t>
  </si>
  <si>
    <t>Electricity | Electrical engineering | Electric power systems | Watts | Line voltage | Magnitude phase plot</t>
  </si>
  <si>
    <t>Sciences | Electrical engineering | Energy engineering | Mechanical engineering | Mathematics</t>
  </si>
  <si>
    <t>https://www.accessengineeringlibrary.com/content/video/V1948933348001</t>
  </si>
  <si>
    <t>Balanced AC System with Y-Connected Load</t>
  </si>
  <si>
    <t>https://www.accessengineeringlibrary.com/content/video/V1948943120001</t>
  </si>
  <si>
    <t>Perry's Handbook Example 13-11 Video Solution</t>
  </si>
  <si>
    <t>Chemical engineering | Distillation trays | Distillation columns | Mass transfer coefficient | Schmidt number | Fluid dynamics</t>
  </si>
  <si>
    <t>https://www.accessengineeringlibrary.com/content/video/V1955115574001</t>
  </si>
  <si>
    <t>Perry's Handbook Example 13-8 Video Solution</t>
  </si>
  <si>
    <t>Chemical engineering | Tray efficiency | Distillation | Column efficiency | Distillation columns | Thermodynamic equilibrium</t>
  </si>
  <si>
    <t>Chemical engineering | Bioengineering | Sciences</t>
  </si>
  <si>
    <t>https://www.accessengineeringlibrary.com/content/video/V1955115576001</t>
  </si>
  <si>
    <t>Perry's Handbook Example 13-2 Video Solution</t>
  </si>
  <si>
    <t>Hydrocarbons | Methane | Chemical engineering | Video streams | Pentane | Absorption columns</t>
  </si>
  <si>
    <t>Chemical engineering | Sciences | Energy engineering | Electrical engineering</t>
  </si>
  <si>
    <t>https://www.accessengineeringlibrary.com/content/video/V1955115579001</t>
  </si>
  <si>
    <t>Perry's Handbook Example 14-4 Video Solution</t>
  </si>
  <si>
    <t>Chemical engineering | Steam stripping | Tray efficiency | Water viscosity | Gas flow rate | Viscous fluids</t>
  </si>
  <si>
    <t>https://www.accessengineeringlibrary.com/content/video/V1955179000001</t>
  </si>
  <si>
    <t>Perry's Handbook Example 14-2 Video Solution</t>
  </si>
  <si>
    <t>Chemical engineering | Column design | Absorption columns | Packed columns | Gases | Thermodynamic equilibrium</t>
  </si>
  <si>
    <t>Chemical engineering | Civil engineering | Sciences</t>
  </si>
  <si>
    <t>https://www.accessengineeringlibrary.com/content/video/V1955179001001</t>
  </si>
  <si>
    <t>Perry's Handbook Example 13-12 Video Solution</t>
  </si>
  <si>
    <t>Chemical engineering | Packed columns | Absorption columns | Flow velocity | Volume | Phase velocity</t>
  </si>
  <si>
    <t>https://www.accessengineeringlibrary.com/content/video/V1955179002001</t>
  </si>
  <si>
    <t>Perry's Handbook Example 13-9 Video Solution</t>
  </si>
  <si>
    <t>Chemical engineering | Packed columns | Plate columns | Absorption columns | Gases | Thermodynamic properties</t>
  </si>
  <si>
    <t>https://www.accessengineeringlibrary.com/content/video/V1955179003001</t>
  </si>
  <si>
    <t>Perry's Handbook Example 13-5 Video Solution</t>
  </si>
  <si>
    <t>Video streams | Chemical engineering | Gases | Hydrocarbons | Gas flow rate | Absorption columns</t>
  </si>
  <si>
    <t>Electrical engineering | Chemical engineering | Sciences | Energy engineering | Civil engineering | Mechanical engineering</t>
  </si>
  <si>
    <t>https://www.accessengineeringlibrary.com/content/video/V1955179005001</t>
  </si>
  <si>
    <t>Perry's Handbook Example 14-3 Video Solution</t>
  </si>
  <si>
    <t>Chemical engineering | Packed columns | Henrys law | Voice of the customer | Organic chemicals | Air stripping</t>
  </si>
  <si>
    <t>Chemical engineering | Sciences | Engineering management | Industrial engineering | Civil engineering | Energy engineering | Environmental engineering</t>
  </si>
  <si>
    <t>https://www.accessengineeringlibrary.com/content/video/V1955202416001</t>
  </si>
  <si>
    <t>Perry's Handbook Example 13-4 Video Solution</t>
  </si>
  <si>
    <t>Flow rate | Chemical engineering | Distillation reboilers | Video streams | Hydrocarbons | Distillation</t>
  </si>
  <si>
    <t>Chemical engineering | Civil engineering | Mechanical engineering | Electrical engineering | Sciences | Energy engineering</t>
  </si>
  <si>
    <t>https://www.accessengineeringlibrary.com/content/video/V1955202420001</t>
  </si>
  <si>
    <t>Perry's Handbook Example 13-3 Video Solution</t>
  </si>
  <si>
    <t>Flow rate | Distillation columns | Chemical engineering | Distillation reboilers | Distillation condensers | McCabe Thiele method</t>
  </si>
  <si>
    <t>https://www.accessengineeringlibrary.com/content/video/V1955676332001</t>
  </si>
  <si>
    <t>Perry's Handbook Example 14-5 Video Solution</t>
  </si>
  <si>
    <t>Chemical engineering | Water supply | Safety factors | Absorption columns | Vapor liquid equilibrium | Packed columns</t>
  </si>
  <si>
    <t>Chemical engineering | Civil engineering | Energy engineering | Environmental engineering | Sciences | Mechanical engineering</t>
  </si>
  <si>
    <t>https://www.accessengineeringlibrary.com/content/video/V1966442391001</t>
  </si>
  <si>
    <t>Schaum's Linear Algebra Supplementary Problem 12.33: Quadratic Forms</t>
  </si>
  <si>
    <t>Schaum's Outline of Linear Algebra, Sixth Edition|Schaum's Outline of Linear Algebra, Fifth Edition</t>
  </si>
  <si>
    <t>9781260011449|9780071794565</t>
  </si>
  <si>
    <t>Linear algebra | Matrices</t>
  </si>
  <si>
    <t>https://www.accessengineeringlibrary.com/content/video/V2079655950001</t>
  </si>
  <si>
    <t>Schaum's Linear Algebra Supplementary Problem 9.57: Diagonalizing Real Symmetric Matrices</t>
  </si>
  <si>
    <t>Linear algebra | Eigenvectors | Eigenvalues | Matrices | System of equations | Unit vectors</t>
  </si>
  <si>
    <t>Mathematics | Mechanical engineering | Sciences</t>
  </si>
  <si>
    <t>https://www.accessengineeringlibrary.com/content/video/V2079655952001</t>
  </si>
  <si>
    <t>Schaum's Linear Algebra Supplementary Problem 12.41: Positive Definite Quadratic Forms</t>
  </si>
  <si>
    <t>https://www.accessengineeringlibrary.com/content/video/V2079687210001</t>
  </si>
  <si>
    <t>Schaum's Linear Algebra Supplementary Problem 10.52: Jordan Canonical Forms</t>
  </si>
  <si>
    <t>Linear algebra | Eigenvalues</t>
  </si>
  <si>
    <t>Mathematics | Mechanical engineering</t>
  </si>
  <si>
    <t>https://www.accessengineeringlibrary.com/content/video/V2079687211001</t>
  </si>
  <si>
    <t>Schaum's Linear Algebra Supplementary Problem 8.61: Determinant of Linear Operator</t>
  </si>
  <si>
    <t>Linear algebra | Vector spaces | Coefficient matrices</t>
  </si>
  <si>
    <t>https://www.accessengineeringlibrary.com/content/video/V2079687212001</t>
  </si>
  <si>
    <t>Schaum's Linear Algebra Supplementary Problem 7.57: Inner Products</t>
  </si>
  <si>
    <t>Linear algebra | Real numbers</t>
  </si>
  <si>
    <t>https://www.accessengineeringlibrary.com/content/video/V2079687213001</t>
  </si>
  <si>
    <t>Schaum's Linear Algebra Supplementary Problem 5.63: Linear Mappings - Kernal and Image</t>
  </si>
  <si>
    <t>Linear algebra | Linear transformations | System of equations</t>
  </si>
  <si>
    <t>https://www.accessengineeringlibrary.com/content/video/V2079687214001</t>
  </si>
  <si>
    <t>Schaum's Linear Algebra Supplementary Problem 3.69: LU factorization</t>
  </si>
  <si>
    <t>Linear algebra | Factoring | Decomposition</t>
  </si>
  <si>
    <t>https://www.accessengineeringlibrary.com/content/video/V2079687216001</t>
  </si>
  <si>
    <t>Schaum's Linear Algebra Supplementary Problem 2.54: Matrix Inverse</t>
  </si>
  <si>
    <t>https://www.accessengineeringlibrary.com/content/video/V2079687217001</t>
  </si>
  <si>
    <t>Schaum's Linear Algebra Supplementary Problem 1.43: Vector Operations</t>
  </si>
  <si>
    <t>Linear algebra | Vectors | Dot product | Scalars</t>
  </si>
  <si>
    <t>https://www.accessengineeringlibrary.com/content/video/V2079687218001</t>
  </si>
  <si>
    <t>Schaum's Linear Algebra Supplementary Problem 13.32: Unitary Matrices</t>
  </si>
  <si>
    <t>Linear algebra | Real numbers | Complex numbers</t>
  </si>
  <si>
    <t>https://www.accessengineeringlibrary.com/content/video/V2079718280001</t>
  </si>
  <si>
    <t>Schaum's Linear Algebra Supplementary Problem 11.19: Dual Spaces and Bases</t>
  </si>
  <si>
    <t>Linear algebra | Vector spaces | System of equations</t>
  </si>
  <si>
    <t>https://www.accessengineeringlibrary.com/content/video/V2079718281001</t>
  </si>
  <si>
    <t>Schaum's Linear Algebra Supplementary Problem 9.46: Eigenvalues and Eigenvectors</t>
  </si>
  <si>
    <t>Linear algebra | Eigenvectors | Eigenvalues | Matrices | System of equations</t>
  </si>
  <si>
    <t>https://www.accessengineeringlibrary.com/content/video/V2079718284001</t>
  </si>
  <si>
    <t>Schaum's Linear Algebra Supplementary Problem 7.75: Gram-Schmidt Algorithm</t>
  </si>
  <si>
    <t>Linear algebra | Vectors | Dot product</t>
  </si>
  <si>
    <t>https://www.accessengineeringlibrary.com/content/video/V2079718285001</t>
  </si>
  <si>
    <t>Schaum's Linear Algebra Supplementary Problem 6.43: Differential Operator Matrix Representation</t>
  </si>
  <si>
    <t>Linear algebra | Linear transformations | Derivatives | Vector spaces | Coefficient matrices</t>
  </si>
  <si>
    <t>https://www.accessengineeringlibrary.com/content/video/V2079718288001</t>
  </si>
  <si>
    <t>Schaum's Linear Algebra Supplementary Problem 4.106: Column Spaces</t>
  </si>
  <si>
    <t>https://www.accessengineeringlibrary.com/content/video/V2079718292001</t>
  </si>
  <si>
    <t>Schaum's Linear Algebra Supplementary Problem 4.77: Vector Subspaces</t>
  </si>
  <si>
    <t>Linear algebra | Scalars</t>
  </si>
  <si>
    <t>https://www.accessengineeringlibrary.com/content/video/V2079718294001</t>
  </si>
  <si>
    <t>Schaum's Linear Algebra Supplementary Problem 3.59: Homogeneous Systems - Basis and Dimension</t>
  </si>
  <si>
    <t>Linear algebra | Homogeneous equations | System of equations</t>
  </si>
  <si>
    <t>https://www.accessengineeringlibrary.com/content/video/V2079718296001</t>
  </si>
  <si>
    <t>Schaum's Linear Algebra Supplementary Problem 1.64: Cross Products</t>
  </si>
  <si>
    <t>Linear algebra | Cross product | Unit vectors | Vectors | Unit conversion | Matrices</t>
  </si>
  <si>
    <t>https://www.accessengineeringlibrary.com/content/video/V2079718297001</t>
  </si>
  <si>
    <t>Schaum's Linear Algebra Supplementary Problem 8.41: Determinant of a Matrix</t>
  </si>
  <si>
    <t>https://www.accessengineeringlibrary.com/content/video/V2079728774001</t>
  </si>
  <si>
    <t>Schaum's Linear Algebra Supplementary Problem 6.52: Linear Operator and Change of Basis</t>
  </si>
  <si>
    <t>Linear algebra | Vector spaces | Linear transformations | System of equations | Coefficient matrices</t>
  </si>
  <si>
    <t>https://www.accessengineeringlibrary.com/content/video/V2079728776001</t>
  </si>
  <si>
    <t>Schaum's Linear Algebra Supplementary Problem 5.49: Linear Mappings</t>
  </si>
  <si>
    <t>Linear algebra | Linear transformations | Scalars</t>
  </si>
  <si>
    <t>https://www.accessengineeringlibrary.com/content/video/V2079728778001</t>
  </si>
  <si>
    <t>Schaum's Linear Algebra Supplementary Problem 4.84: Linear Combinations</t>
  </si>
  <si>
    <t>Linear algebra | System of equations</t>
  </si>
  <si>
    <t>https://www.accessengineeringlibrary.com/content/video/V2079728779001</t>
  </si>
  <si>
    <t>Schaum's Linear Algebra Supplementary Problem 3.61: Matrix Reduction - Echelon and Row Canonical Form</t>
  </si>
  <si>
    <t>https://www.accessengineeringlibrary.com/content/video/V2079728780001</t>
  </si>
  <si>
    <t>Schaum's Linear Algebra Supplementary Problem 2.42: Matrix Algebra</t>
  </si>
  <si>
    <t>Linear algebra | Algebra | Scalars | Matrices</t>
  </si>
  <si>
    <t>https://www.accessengineeringlibrary.com/content/video/V2079728781001</t>
  </si>
  <si>
    <t>Schaum's Geometry Supplementary Problem 18.6</t>
  </si>
  <si>
    <t>Schaum's Outline of Geometry, Sixth Edition|Schaum's Outline of Geometry, Fifth Edition</t>
  </si>
  <si>
    <t>9781260010572|9780071795401</t>
  </si>
  <si>
    <t>Triangles | Mirror reflection | Right triangles</t>
  </si>
  <si>
    <t>Mathematics | Electrical engineering | Materials engineering</t>
  </si>
  <si>
    <t>https://www.accessengineeringlibrary.com/content/video/V2079860872001</t>
  </si>
  <si>
    <t>Schaum's Geometry Supplementary Problem 13.11</t>
  </si>
  <si>
    <t>Polygons | Inequalities | Angle measurement | Triangles</t>
  </si>
  <si>
    <t>https://www.accessengineeringlibrary.com/content/video/V2079860873001</t>
  </si>
  <si>
    <t>Schaum's Geometry Supplementary Problem 11.5</t>
  </si>
  <si>
    <t>https://www.accessengineeringlibrary.com/content/video/V2079860874001</t>
  </si>
  <si>
    <t>Schaum's Geometry Supplementary Problem 9.31</t>
  </si>
  <si>
    <t>Polygons | Triangles</t>
  </si>
  <si>
    <t>https://www.accessengineeringlibrary.com/content/video/V2079860875001</t>
  </si>
  <si>
    <t>Schaum's Geometry Supplementary Problem 7.19</t>
  </si>
  <si>
    <t>Triangles | Algebra</t>
  </si>
  <si>
    <t>https://www.accessengineeringlibrary.com/content/video/V2079860877001</t>
  </si>
  <si>
    <t>Schaum's Geometry Supplementary Problem 5.14</t>
  </si>
  <si>
    <t>Triangles</t>
  </si>
  <si>
    <t>https://www.accessengineeringlibrary.com/content/video/V2079860879001</t>
  </si>
  <si>
    <t>Schaum's Geometry Supplementary Problem 4.4</t>
  </si>
  <si>
    <t>https://www.accessengineeringlibrary.com/content/video/V2079860880001</t>
  </si>
  <si>
    <t>Schaum's Geometry Supplementary Problem 9.21</t>
  </si>
  <si>
    <t>Triangles | Equilateral triangles | Altitude | Algebra</t>
  </si>
  <si>
    <t>https://www.accessengineeringlibrary.com/content/video/V2079862875001</t>
  </si>
  <si>
    <t>Schaum's Geometry Supplementary Problem 14.5</t>
  </si>
  <si>
    <t>https://www.accessengineeringlibrary.com/content/video/V2079862877001</t>
  </si>
  <si>
    <t>Schaum's Geometry Supplementary Problem 12.16</t>
  </si>
  <si>
    <t>Analytical geometry</t>
  </si>
  <si>
    <t>https://www.accessengineeringlibrary.com/content/video/V2079862879001</t>
  </si>
  <si>
    <t>Schaum's Geometry Supplementary Problem 10.14</t>
  </si>
  <si>
    <t>Circles | Area formulas | Polygons</t>
  </si>
  <si>
    <t>https://www.accessengineeringlibrary.com/content/video/V2079862880001</t>
  </si>
  <si>
    <t>Schaum's Geometry Supplementary Problem 7.31</t>
  </si>
  <si>
    <t>Triangles | Right triangles</t>
  </si>
  <si>
    <t>https://www.accessengineeringlibrary.com/content/video/V2079862881001</t>
  </si>
  <si>
    <t>Schaum's Geometry Supplementary Problem 6.37</t>
  </si>
  <si>
    <t>Angle measurement | Tangent | Circles | Triangles</t>
  </si>
  <si>
    <t>https://www.accessengineeringlibrary.com/content/video/V2079862882001</t>
  </si>
  <si>
    <t>Schaum's Geometry Supplementary Problem 4.12</t>
  </si>
  <si>
    <t>Triangles | Angle measurement | Right triangles | Digital to analog converters | Analog to digital converters</t>
  </si>
  <si>
    <t>Mathematics | Electrical engineering</t>
  </si>
  <si>
    <t>https://www.accessengineeringlibrary.com/content/video/V2079862883001</t>
  </si>
  <si>
    <t>Schaum's Geometry Supplementary Problem 3.10</t>
  </si>
  <si>
    <t>Triangles | Isosceles triangles</t>
  </si>
  <si>
    <t>https://www.accessengineeringlibrary.com/content/video/V2079862884001</t>
  </si>
  <si>
    <t>Schaum's Geometry Supplementary Problem 2.5</t>
  </si>
  <si>
    <t>https://www.accessengineeringlibrary.com/content/video/V2079862885001</t>
  </si>
  <si>
    <t>Schaum's Geometry Supplementary Problem 17.7</t>
  </si>
  <si>
    <t>Volume | Volume formulas</t>
  </si>
  <si>
    <t>Chemical engineering | Mechanical engineering | Sciences | Mathematics</t>
  </si>
  <si>
    <t>https://www.accessengineeringlibrary.com/content/video/V2079872830001</t>
  </si>
  <si>
    <t>Schaum's Geometry Supplementary Problem 12.46</t>
  </si>
  <si>
    <t>Equation of a line</t>
  </si>
  <si>
    <t>https://www.accessengineeringlibrary.com/content/video/V2079872831001</t>
  </si>
  <si>
    <t>Schaum's Geometry Supplementary Problem 10.43</t>
  </si>
  <si>
    <t>Circles</t>
  </si>
  <si>
    <t>https://www.accessengineeringlibrary.com/content/video/V2079872832001</t>
  </si>
  <si>
    <t>Schaum's Geometry Supplementary Problem 8.24</t>
  </si>
  <si>
    <t>Trigonometric functions | Triangles | Tangent | Angle measurement | Right triangles</t>
  </si>
  <si>
    <t>https://www.accessengineeringlibrary.com/content/video/V2079872833001</t>
  </si>
  <si>
    <t>Schaum's Geometry Supplementary Problem 6.39</t>
  </si>
  <si>
    <t>Angle measurement | Tangent | Circles | Isosceles triangles | Digital to analog converters</t>
  </si>
  <si>
    <t>https://www.accessengineeringlibrary.com/content/video/V2079872834001</t>
  </si>
  <si>
    <t>Schaum's Geometry Supplementary Problem 5.12</t>
  </si>
  <si>
    <t>Triangles | Analog to digital converters</t>
  </si>
  <si>
    <t>https://www.accessengineeringlibrary.com/content/video/V2079872836001</t>
  </si>
  <si>
    <t>Schaum's Geometry Supplementary Problem 2.9</t>
  </si>
  <si>
    <t>Angle measurement</t>
  </si>
  <si>
    <t>https://www.accessengineeringlibrary.com/content/video/V2079872837001</t>
  </si>
  <si>
    <t>Schaum's Geometry Supplementary Problem 3.2</t>
  </si>
  <si>
    <t>Triangles | Angle measurement</t>
  </si>
  <si>
    <t>https://www.accessengineeringlibrary.com/content/video/V2079881082001</t>
  </si>
  <si>
    <t>Schaum's Geometry Supplementary Problem 1.10</t>
  </si>
  <si>
    <t>https://www.accessengineeringlibrary.com/content/video/V2079881084001</t>
  </si>
  <si>
    <t>Schaum's Trigonometry Supplementary Problem 15.20</t>
  </si>
  <si>
    <t>Schaum's Outline of Trigonometry, Sixth Edition|Schaum's Outline of Trigonometry, Fifth Edition</t>
  </si>
  <si>
    <t>9781260011487|9780071795357</t>
  </si>
  <si>
    <t>Trigonometry | Complex numbers | Real numbers | Algebra</t>
  </si>
  <si>
    <t>https://www.accessengineeringlibrary.com/content/video/V2079902185001</t>
  </si>
  <si>
    <t>Schaum's Trigonometry Supplementary Problem 13.21</t>
  </si>
  <si>
    <t>Trigonometry | Trigonometric functions | Sine | Cosine | Tangent | Right triangles</t>
  </si>
  <si>
    <t>https://www.accessengineeringlibrary.com/content/video/V2079902187001</t>
  </si>
  <si>
    <t>Schaum's Trigonometry Supplementary Problem 12.26</t>
  </si>
  <si>
    <t>Trigonometry | Triangles | Sine</t>
  </si>
  <si>
    <t>https://www.accessengineeringlibrary.com/content/video/V2079902188001</t>
  </si>
  <si>
    <t>Schaum's Trigonometry Supplementary Problem 11.28</t>
  </si>
  <si>
    <t>Trigonometry | Triangles | Law of sines | Law of cosines | Sine | Cosine</t>
  </si>
  <si>
    <t>https://www.accessengineeringlibrary.com/content/video/V2079902189001</t>
  </si>
  <si>
    <t>Schaum's Trigonometry Supplementary Problem 8.32</t>
  </si>
  <si>
    <t>Trigonometry | Trigonometric functions | Algebra | Sine | Cosine</t>
  </si>
  <si>
    <t>https://www.accessengineeringlibrary.com/content/video/V2079902190001</t>
  </si>
  <si>
    <t>Schaum's Trigonometry Supplementary Problem 14.33</t>
  </si>
  <si>
    <t>Trigonometry | Trigonometric functions | Tangent | Sine | Algebra | Trigonometric equations</t>
  </si>
  <si>
    <t>https://www.accessengineeringlibrary.com/content/video/V2079911142001</t>
  </si>
  <si>
    <t>Schaum's Trigonometry Supplementary Problem 12.23</t>
  </si>
  <si>
    <t>https://www.accessengineeringlibrary.com/content/video/V2079911143001</t>
  </si>
  <si>
    <t>Schaum's Trigonometry Supplementary Problem 9.29</t>
  </si>
  <si>
    <t>Trigonometry | Cosine | Sine | Tangent | Angle measurement</t>
  </si>
  <si>
    <t>https://www.accessengineeringlibrary.com/content/video/V2079911149001</t>
  </si>
  <si>
    <t>Schaum's Trigonometry Supplementary Problem 7.11</t>
  </si>
  <si>
    <t>Trigonometry | Amplitude | Trigonometric functions | Sine | P waves</t>
  </si>
  <si>
    <t>Mathematics | Electrical engineering | Civil engineering | Sciences</t>
  </si>
  <si>
    <t>https://www.accessengineeringlibrary.com/content/video/V2079911150001</t>
  </si>
  <si>
    <t>Schaum's Trigonometry Supplementary Problem 5.16</t>
  </si>
  <si>
    <t>Trigonometry | Trigonometric functions | Navigation | Angle measurement | Tangent | Right triangles</t>
  </si>
  <si>
    <t>Mathematics | Civil engineering</t>
  </si>
  <si>
    <t>https://www.accessengineeringlibrary.com/content/video/V2079911155001</t>
  </si>
  <si>
    <t>Schaum's Trigonometry Supplementary Problem 15.26</t>
  </si>
  <si>
    <t>Trigonometry | Complex numbers | Cosine | Sine | Right triangles | Amplitude</t>
  </si>
  <si>
    <t>https://www.accessengineeringlibrary.com/content/video/V2079918479001</t>
  </si>
  <si>
    <t>Schaum's Trigonometry Supplementary Problem 14.52</t>
  </si>
  <si>
    <t>Trigonometry | Trigonometric functions | Cosine | Trigonometric equations | Right triangles | Quadratic equations</t>
  </si>
  <si>
    <t>https://www.accessengineeringlibrary.com/content/video/V2079918480001</t>
  </si>
  <si>
    <t>Schaum's Trigonometry Supplementary Problem 10.18</t>
  </si>
  <si>
    <t>Trigonometry | Trigonometric functions | Sine | Cosine | Right triangles | Angle measurement</t>
  </si>
  <si>
    <t>https://www.accessengineeringlibrary.com/content/video/V2079918486001</t>
  </si>
  <si>
    <t>Schaum's Trigonometry Supplementary Problem 8.29</t>
  </si>
  <si>
    <t>Trigonometry | Cosine | Sine | Tangent | Cotangent | Fractions</t>
  </si>
  <si>
    <t>https://www.accessengineeringlibrary.com/content/video/V2079918489001</t>
  </si>
  <si>
    <t>Schaum's Trigonometry Supplementary Problem 5.26</t>
  </si>
  <si>
    <t>Trigonometry | Trigonometric functions | Inclined planes | Runways | Drag | Sine</t>
  </si>
  <si>
    <t>Mathematics | Civil engineering | Mechanical engineering | Aerospace engineering | Chemical engineering</t>
  </si>
  <si>
    <t>https://www.accessengineeringlibrary.com/content/video/V2079918490001</t>
  </si>
  <si>
    <t>Schaum's Trigonometry Supplementary Problem 3.22</t>
  </si>
  <si>
    <t>Trigonometry | Trigonometric functions | Tangent | Cosine | Pythagorean theorem | Triangles</t>
  </si>
  <si>
    <t>https://www.accessengineeringlibrary.com/content/video/V2079918493001</t>
  </si>
  <si>
    <t>Schaum's Trigonometry Supplementary Problem 6.13</t>
  </si>
  <si>
    <t>Trigonometry | Trigonometric functions | Acute angles | Sine | Cosine | Tangent</t>
  </si>
  <si>
    <t>https://www.accessengineeringlibrary.com/content/video/V2079933703001</t>
  </si>
  <si>
    <t>Schaum's Trigonometry Supplementary Problem 4.25</t>
  </si>
  <si>
    <t>Trigonometry | Right triangles | Triangles | Sine | Cosine | Circles</t>
  </si>
  <si>
    <t>https://www.accessengineeringlibrary.com/content/video/V2079933711001</t>
  </si>
  <si>
    <t>Schaum's Trigonometry Supplementary Problem 2.24</t>
  </si>
  <si>
    <t>https://www.accessengineeringlibrary.com/content/video/V2079933713001</t>
  </si>
  <si>
    <t>Schaum's Trigonometry Supplementary Problem 1.30</t>
  </si>
  <si>
    <t>Trigonometry | Angular velocity | Surface grinding | Diameter measurement | Circles</t>
  </si>
  <si>
    <t>Mathematics | Civil engineering | Mechanical engineering | Sciences | Industrial engineering | Materials engineering</t>
  </si>
  <si>
    <t>https://www.accessengineeringlibrary.com/content/video/V2079933714001</t>
  </si>
  <si>
    <t>Energy Systems Engineering Example 17-1</t>
  </si>
  <si>
    <t>Energy Systems Engineering: Evaluation and Implementation, Third Edition</t>
  </si>
  <si>
    <t>Keenan Valentine</t>
  </si>
  <si>
    <t>Energy engineering | Hydroelectric power | Flow rate | Fluid density | Watts | Conversion efficiency</t>
  </si>
  <si>
    <t>Energy engineering | Environmental engineering | Chemical engineering | Civil engineering | Mechanical engineering | Sciences | Electrical engineering</t>
  </si>
  <si>
    <t>https://www.accessengineeringlibrary.com/content/video/V2127114333001</t>
  </si>
  <si>
    <t>Energy Systems Engineering Example 7-3</t>
  </si>
  <si>
    <t>Energy engineering | Methane | Carbon capture | Carbon dioxide | Gases | Coal</t>
  </si>
  <si>
    <t>Energy engineering | Chemical engineering | Sciences | Civil engineering | Environmental engineering</t>
  </si>
  <si>
    <t>https://www.accessengineeringlibrary.com/content/video/V2127114335001</t>
  </si>
  <si>
    <t>Energy Systems Engineering Example 6-8</t>
  </si>
  <si>
    <t>Energy engineering | Gases | Combined cycle power plants | Enthalpy | Atmospheric pressure | Rankine cycle</t>
  </si>
  <si>
    <t>Energy engineering | Sciences | Civil engineering | Electrical engineering | Mechanical engineering | Chemical engineering</t>
  </si>
  <si>
    <t>https://www.accessengineeringlibrary.com/content/video/V2127114337001</t>
  </si>
  <si>
    <t>Energy Systems Engineering Example 8-3</t>
  </si>
  <si>
    <t>Energy engineering | Nuclear fuels | Mass | Spent nuclear fuel | Fuels | Energy measurement</t>
  </si>
  <si>
    <t>Energy engineering | Chemical engineering | Materials engineering | Sciences</t>
  </si>
  <si>
    <t>https://www.accessengineeringlibrary.com/content/video/V2127137195001</t>
  </si>
  <si>
    <t>Energy Systems Engineering Example 4-3</t>
  </si>
  <si>
    <t>Energy engineering | Carbon dioxide | Heat transfer | Gases | Atmospheric science | Surface hardening</t>
  </si>
  <si>
    <t>Energy engineering | Chemical engineering | Sciences | Mechanical engineering | Industrial engineering | Materials engineering</t>
  </si>
  <si>
    <t>https://www.accessengineeringlibrary.com/content/video/V2127145372001</t>
  </si>
  <si>
    <t>Energy Systems Engineering Example 17-2</t>
  </si>
  <si>
    <t>Energy engineering | Heat pumps | Geothermal power | Temperature | Heat exchangers | Compressors</t>
  </si>
  <si>
    <t>Energy engineering | Chemical engineering | Mechanical engineering | Sciences | Environmental engineering | Civil engineering | Electrical engineering</t>
  </si>
  <si>
    <t>https://www.accessengineeringlibrary.com/content/video/V2127151915001</t>
  </si>
  <si>
    <t>Energy Systems Engineering Example 3-7</t>
  </si>
  <si>
    <t>Energy engineering | Net present value | Internal rate of return | Interest rates | Oil wells | Cash flow</t>
  </si>
  <si>
    <t>Energy engineering | Business skills | Engineering management | Chemical engineering | Civil engineering</t>
  </si>
  <si>
    <t>https://www.accessengineeringlibrary.com/content/video/V2127151918001</t>
  </si>
  <si>
    <t>Energy Systems Engineering Example 3-4</t>
  </si>
  <si>
    <t>Energy engineering | Net present value | Internal rate of return | Interest rates | Future value | Rate of return</t>
  </si>
  <si>
    <t>Energy engineering | Business skills | Engineering management | Chemical engineering</t>
  </si>
  <si>
    <t>https://www.accessengineeringlibrary.com/content/video/V2127151998001</t>
  </si>
  <si>
    <t>Energy Systems Engineering Example 16-3</t>
  </si>
  <si>
    <t>Jeffrey Casello</t>
  </si>
  <si>
    <t>Energy engineering | Hybrid electric vehicles | Fuels | Internal combustion engines | Fractions | Fuel savings</t>
  </si>
  <si>
    <t>Energy engineering | Civil engineering | Mechanical engineering | Environmental engineering | Electrical engineering | Mathematics</t>
  </si>
  <si>
    <t>https://www.accessengineeringlibrary.com/content/video/V2209870891001</t>
  </si>
  <si>
    <t>Energy Systems Engineering Example 15-2</t>
  </si>
  <si>
    <t>Energy engineering | Utility requirements | Acceleration | Gravity | Drag coefficients | Watts</t>
  </si>
  <si>
    <t>Energy engineering | Civil engineering | Mechanical engineering | Sciences | Aerospace engineering | Chemical engineering | Electrical engineering</t>
  </si>
  <si>
    <t>https://www.accessengineeringlibrary.com/content/video/V2209870892001</t>
  </si>
  <si>
    <t>Energy Systems Engineering Example 2-5</t>
  </si>
  <si>
    <t>Energy engineering | Fuels | Mean | Standard deviation | Normal distribution | Random variables</t>
  </si>
  <si>
    <t>Energy engineering | Computer science | Mathematics</t>
  </si>
  <si>
    <t>https://www.accessengineeringlibrary.com/content/video/V2209870893001</t>
  </si>
  <si>
    <t>Energy Systems Engineering Example 16-2</t>
  </si>
  <si>
    <t>Energy engineering | Carbon dioxide | Plug in hybrid electric vehicles | Electricity | Electric power | Pollution</t>
  </si>
  <si>
    <t>Energy engineering | Chemical engineering | Sciences | Civil engineering | Mechanical engineering | Environmental engineering | Electrical engineering</t>
  </si>
  <si>
    <t>https://www.accessengineeringlibrary.com/content/video/V2209878255001</t>
  </si>
  <si>
    <t>Energy Systems Engineering Example 15-1</t>
  </si>
  <si>
    <t>Energy engineering | Drag coefficients | Speed | Gravity | Mass | Wind measurement</t>
  </si>
  <si>
    <t>Energy engineering | Aerospace engineering | Chemical engineering | Civil engineering | Mechanical engineering | Sciences | Environmental engineering</t>
  </si>
  <si>
    <t>https://www.accessengineeringlibrary.com/content/video/V2209878256001</t>
  </si>
  <si>
    <t>Energy Systems Engineering Example 15-6</t>
  </si>
  <si>
    <t>Energy engineering | Fuel economy | Plug in hybrid electric vehicles | Gasoline | Electricity | Fuels</t>
  </si>
  <si>
    <t>Energy engineering | Mechanical engineering | Civil engineering | Environmental engineering | Sciences</t>
  </si>
  <si>
    <t>https://www.accessengineeringlibrary.com/content/video/V2209880957001</t>
  </si>
  <si>
    <t>Energy Systems Engineering Example 6-11</t>
  </si>
  <si>
    <t>Energy engineering | Electricity | Power plants | Variable cost | Fixed costs | Linear equations</t>
  </si>
  <si>
    <t>Energy engineering | Sciences | Civil engineering | Electrical engineering | Mechanical engineering | Business skills | Engineering management | Mathematics</t>
  </si>
  <si>
    <t>https://www.accessengineeringlibrary.com/content/video/V2209880958001</t>
  </si>
  <si>
    <t>Energy Systems Engineering Example 5-3</t>
  </si>
  <si>
    <t>Energy engineering | Petroleum | Exponents | Variance | Normal distribution | Mean</t>
  </si>
  <si>
    <t>Energy engineering | Mathematics | Computer science</t>
  </si>
  <si>
    <t>https://www.accessengineeringlibrary.com/content/video/V2212318077001</t>
  </si>
  <si>
    <t>Schaum's Strength of Materials Problem 11.5</t>
  </si>
  <si>
    <t>Schaumâ€™s Outline of Strength of Materials, Fifth Edition|Schaum's Outline of Strength of Materials, Seventh Edition</t>
  </si>
  <si>
    <t>9780071635080|9781260456547</t>
  </si>
  <si>
    <t>Safety factors | Mechanical components | Material properties | Axial members | Stress | Design load</t>
  </si>
  <si>
    <t>https://www.accessengineeringlibrary.com/content/video/V2219465500001</t>
  </si>
  <si>
    <t>Schaum's Strength of Materials Problem 9.17</t>
  </si>
  <si>
    <t>Luke Lee</t>
  </si>
  <si>
    <t>Singularity functions | Statically indeterminate beams | Static load | Boundary conditions | Structural beams | Deformation</t>
  </si>
  <si>
    <t>https://www.accessengineeringlibrary.com/content/video/V2219465501001</t>
  </si>
  <si>
    <t>Schaum's Strength of Materials Problem 8.22</t>
  </si>
  <si>
    <t>Linear equations | Deflection | Cantilever beams | Boundary conditions | Algebra | Static load</t>
  </si>
  <si>
    <t>Mathematics | Civil engineering | Mechanical engineering</t>
  </si>
  <si>
    <t>https://www.accessengineeringlibrary.com/content/video/V2219465502001</t>
  </si>
  <si>
    <t>Schaum's Strength of Materials Problem 6.24</t>
  </si>
  <si>
    <t>Singularity functions | Bending moment | Shear load | Structural beams | Statics | Brackets</t>
  </si>
  <si>
    <t>https://www.accessengineeringlibrary.com/content/video/V2219465504001</t>
  </si>
  <si>
    <t>Schaum's Strength of Materials Problem 5.22</t>
  </si>
  <si>
    <t>Shafts | Torque | Shear stress | Unit conversion | Circular shafts | Watts</t>
  </si>
  <si>
    <t>Mechanical engineering | Sciences | Civil engineering | Mathematics | Electrical engineering | Energy engineering</t>
  </si>
  <si>
    <t>https://www.accessengineeringlibrary.com/content/video/V2219465505001</t>
  </si>
  <si>
    <t>Schaum's Strength of Materials Problem 11.6</t>
  </si>
  <si>
    <t>Safety factors | Fatigue limits | Yield strength | Beam theory | Stress | Yield stress</t>
  </si>
  <si>
    <t>https://www.accessengineeringlibrary.com/content/video/V2219481723001</t>
  </si>
  <si>
    <t>Schaum's Strength of Materials Problem 10.16</t>
  </si>
  <si>
    <t>Elastic modulus | Wood columns | Column buckling | Buckling</t>
  </si>
  <si>
    <t>https://www.accessengineeringlibrary.com/content/video/V2219481724001</t>
  </si>
  <si>
    <t>Schaum's Strength of Materials Problem 8.27</t>
  </si>
  <si>
    <t>Singularity functions | Deflection | Cantilever beams | Brackets | Boundary conditions | Statics</t>
  </si>
  <si>
    <t>https://www.accessengineeringlibrary.com/content/video/V2219481726001</t>
  </si>
  <si>
    <t>Schaum's Strength of Materials Problem 7.31</t>
  </si>
  <si>
    <t>Compressive stress | Moment of inertia | Shear diagrams | Bending moment diagrams | Centers of mass | Parallel axis theorem</t>
  </si>
  <si>
    <t>https://www.accessengineeringlibrary.com/content/video/V2219481727001</t>
  </si>
  <si>
    <t>Schaum's Strength of Materials Problem 5.24</t>
  </si>
  <si>
    <t>Torque | Static equilibrium | Integrals | Circular shafts | Chemical equilibrium | Calculus</t>
  </si>
  <si>
    <t>Sciences | Civil engineering | Mechanical engineering | Mathematics | Chemical engineering</t>
  </si>
  <si>
    <t>https://www.accessengineeringlibrary.com/content/video/V2219481728001</t>
  </si>
  <si>
    <t>Schaum's Strength of Materials Problem 4.11</t>
  </si>
  <si>
    <t>Hoop stress | Geometric properties of areas | Yield strength | Stress concentrations | Stress | Pressure vessels</t>
  </si>
  <si>
    <t>Civil engineering | Mechanical engineering | Materials engineering | Chemical engineering</t>
  </si>
  <si>
    <t>https://www.accessengineeringlibrary.com/content/video/V2219481729001</t>
  </si>
  <si>
    <t>Schaum's Strength of Materials Problem 3.12</t>
  </si>
  <si>
    <t>Maximum shear stress | Axial load | Normal stress | Shear stress | Tension | Stress</t>
  </si>
  <si>
    <t>https://www.accessengineeringlibrary.com/content/video/V2219481731001</t>
  </si>
  <si>
    <t>Schaum's Strength of Materials Problem 2.14</t>
  </si>
  <si>
    <t>Torque | Shear stress | Shafts | Pulleys | Shear force | Static equilibrium</t>
  </si>
  <si>
    <t>Sciences | Civil engineering | Mechanical engineering</t>
  </si>
  <si>
    <t>https://www.accessengineeringlibrary.com/content/video/V2219481732001</t>
  </si>
  <si>
    <t>Schaum's Strength of Materials Problem 10.19</t>
  </si>
  <si>
    <t>Steel | Eulers formula | Stress | Elastic modulus</t>
  </si>
  <si>
    <t>Civil engineering | Materials engineering | Mathematics | Mechanical engineering</t>
  </si>
  <si>
    <t>https://www.accessengineeringlibrary.com/content/video/V2219503893001</t>
  </si>
  <si>
    <t>Schaum's Strength of Materials Problem 9.15</t>
  </si>
  <si>
    <t>Singularity functions | Deflection | Statically indeterminate beams | Boundary conditions | Static equilibrium | Algebra</t>
  </si>
  <si>
    <t>https://www.accessengineeringlibrary.com/content/video/V2219503894001</t>
  </si>
  <si>
    <t>Schaum's Strength of Materials Problem 7.34</t>
  </si>
  <si>
    <t>Bending stress | Shear stress | Structural beams | Shear load | Bending moment diagrams | Moment of inertia</t>
  </si>
  <si>
    <t>https://www.accessengineeringlibrary.com/content/video/V2219503895001</t>
  </si>
  <si>
    <t>Schaum's Strength of Materials Problem 6.16</t>
  </si>
  <si>
    <t>Bending moment diagrams | Bending moment | Shear load | Shear diagrams | Static load | Algebra</t>
  </si>
  <si>
    <t>https://www.accessengineeringlibrary.com/content/video/V2219503897001</t>
  </si>
  <si>
    <t>Schaum's Strength of Materials Problem 4.15</t>
  </si>
  <si>
    <t>Safety factors | Yield stress | Maximum pressure | Steel</t>
  </si>
  <si>
    <t>https://www.accessengineeringlibrary.com/content/video/V2219503899001</t>
  </si>
  <si>
    <t>Schaum's Strength of Materials Problem 3.22</t>
  </si>
  <si>
    <t>Shear stress | Principal stress | Maximum shear stress</t>
  </si>
  <si>
    <t>https://www.accessengineeringlibrary.com/content/video/V2219503900001</t>
  </si>
  <si>
    <t>Schaum's Strength of Materials Problem 2.18</t>
  </si>
  <si>
    <t>Metals | Epoxy adhesives | Adhesive strength | Stress | Thermoset epoxy polymers | Shear strength</t>
  </si>
  <si>
    <t>Materials engineering | Chemical engineering | Sciences | Industrial engineering | Civil engineering | Mechanical engineering</t>
  </si>
  <si>
    <t>https://www.accessengineeringlibrary.com/content/video/V2219503901001</t>
  </si>
  <si>
    <t>Schaum's Strength of Materials Problem 1.34</t>
  </si>
  <si>
    <t>Deformation | Normal stress | Statics | Stress | Brass | Structural steel</t>
  </si>
  <si>
    <t>https://www.accessengineeringlibrary.com/content/video/V2219503902001</t>
  </si>
  <si>
    <t>Schaum's Strength of Materials Problem 1.35</t>
  </si>
  <si>
    <t>Statically indeterminate beams | Normal stress | Deformation | Axial members | Internal force | Triangles</t>
  </si>
  <si>
    <t>Civil engineering | Mechanical engineering | Industrial engineering | Materials engineering | Sciences | Mathematics</t>
  </si>
  <si>
    <t>https://www.accessengineeringlibrary.com/content/video/V2219508332001</t>
  </si>
  <si>
    <t>Coaxiality</t>
  </si>
  <si>
    <t>Geometric Dimensioning and Tolerancing for Mechanical Design, Second Edition|Geometric Dimensioning and Tolerancing for Mechanical Design, 3E</t>
  </si>
  <si>
    <t>9780071772129|9781260453782</t>
  </si>
  <si>
    <t>Gene Cogorno</t>
  </si>
  <si>
    <t>Machine design | Geometric dimensioning and tolerancing | Datum features | Zone control | Material surfaces | Control system error</t>
  </si>
  <si>
    <t>Mechanical engineering | Industrial engineering | Materials engineering | Electrical engineering</t>
  </si>
  <si>
    <t>https://www.accessengineeringlibrary.com/content/video/V2433899704001</t>
  </si>
  <si>
    <t>Datums</t>
  </si>
  <si>
    <t>Datums | Machine design | Geometric dimensioning and tolerancing | Datum features | Datum reference frames | Surface flatness</t>
  </si>
  <si>
    <t>Industrial engineering | Mechanical engineering | Materials engineering</t>
  </si>
  <si>
    <t>https://www.accessengineeringlibrary.com/content/video/V2433899705001</t>
  </si>
  <si>
    <t>Coplanarity</t>
  </si>
  <si>
    <t>Machine design | Geometric dimensioning and tolerancing | Zone control | Datum features | Surface profiles | Surface features</t>
  </si>
  <si>
    <t>Mechanical engineering | Industrial engineering | Materials engineering</t>
  </si>
  <si>
    <t>https://www.accessengineeringlibrary.com/content/video/V2433899707001</t>
  </si>
  <si>
    <t>Position, MMC</t>
  </si>
  <si>
    <t>Geometric dimensioning and tolerancing | Machine design | Positional tolerances | Circles | Datum reference frames | Datum features</t>
  </si>
  <si>
    <t>Industrial engineering | Mechanical engineering | Mathematics</t>
  </si>
  <si>
    <t>https://www.accessengineeringlibrary.com/content/video/V2433899709001</t>
  </si>
  <si>
    <t>Profile</t>
  </si>
  <si>
    <t>Machine design | Geometric dimensioning and tolerancing | Cams | Datum features | Datums | Surface profiles</t>
  </si>
  <si>
    <t>https://www.accessengineeringlibrary.com/content/video/V2433899710001</t>
  </si>
  <si>
    <t>Feature Control Frame</t>
  </si>
  <si>
    <t>Geometric dimensioning and tolerancing | Machine design | Datums | Datum features | Geometric properties of areas | Datum reference frames</t>
  </si>
  <si>
    <t>Industrial engineering | Mechanical engineering | Civil engineering</t>
  </si>
  <si>
    <t>https://www.accessengineeringlibrary.com/content/video/V2433899711001</t>
  </si>
  <si>
    <t>Virtual Condition</t>
  </si>
  <si>
    <t>Machine design | Geometric dimensioning and tolerancing | Orientation tolerances</t>
  </si>
  <si>
    <t>https://www.accessengineeringlibrary.com/content/video/V2433899713001</t>
  </si>
  <si>
    <t>Position, RFS</t>
  </si>
  <si>
    <t>Machine design | Geometric dimensioning and tolerancing | Datum features | Datum reference frames | Zone control | Circles</t>
  </si>
  <si>
    <t>Mechanical engineering | Industrial engineering | Mathematics</t>
  </si>
  <si>
    <t>https://www.accessengineeringlibrary.com/content/video/V2433952473001</t>
  </si>
  <si>
    <t>The Tolerance of Position</t>
  </si>
  <si>
    <t>Machine design | Geometric dimensioning and tolerancing | Datum features | Positional tolerances | Diameter measurement | Datum reference frames</t>
  </si>
  <si>
    <t>https://www.accessengineeringlibrary.com/content/video/V2433952474001</t>
  </si>
  <si>
    <t>Flatness</t>
  </si>
  <si>
    <t>Machine design | Geometric dimensioning and tolerancing | Irregular surfaces | Screws | Zone control | Surface features</t>
  </si>
  <si>
    <t>Mechanical engineering | Industrial engineering | Materials engineering | Civil engineering</t>
  </si>
  <si>
    <t>https://www.accessengineeringlibrary.com/content/video/V2433975065001</t>
  </si>
  <si>
    <t>Perpendicularity</t>
  </si>
  <si>
    <t>Machine design | Geometric dimensioning and tolerancing | Datum features | Datums | Material surfaces</t>
  </si>
  <si>
    <t>https://www.accessengineeringlibrary.com/content/video/V2433975067001</t>
  </si>
  <si>
    <t>Datum Feature Symbol</t>
  </si>
  <si>
    <t>Datum features | Geometric dimensioning and tolerancing | Machine design | Equilateral triangles | Datums | Circles</t>
  </si>
  <si>
    <t>https://www.accessengineeringlibrary.com/content/video/V2433975071001</t>
  </si>
  <si>
    <t>Actual Mating Envelope</t>
  </si>
  <si>
    <t>Geometric dimensioning and tolerancing | Machine design | Datum features | Datums | Surface features</t>
  </si>
  <si>
    <t>https://www.accessengineeringlibrary.com/content/video/V2433975072001</t>
  </si>
  <si>
    <t>Position, RMB and MMB</t>
  </si>
  <si>
    <t>Machine design | Geometric dimensioning and tolerancing | Datum features | Datums | Circles</t>
  </si>
  <si>
    <t>https://www.accessengineeringlibrary.com/content/video/V2433975073001</t>
  </si>
  <si>
    <t>MMC and Circle M</t>
  </si>
  <si>
    <t>Machine design | Geometric dimensioning and tolerancing | Circles | Machining | Shafts | Positional tolerances</t>
  </si>
  <si>
    <t>Mechanical engineering | Industrial engineering | Mathematics | Materials engineering</t>
  </si>
  <si>
    <t>https://www.accessengineeringlibrary.com/content/video/V2433975075001</t>
  </si>
  <si>
    <t>Supplementary Problem 1.36</t>
  </si>
  <si>
    <t>Schaum's Outline of College Chemistry, Tenth Edition</t>
  </si>
  <si>
    <t>Rebecca DeVasher</t>
  </si>
  <si>
    <t>Chemistry | Unit conversion | Sulfates | Significant digits | Mercury | Dimensional analysis</t>
  </si>
  <si>
    <t>Sciences | Mathematics | Chemical engineering</t>
  </si>
  <si>
    <t>https://www.accessengineeringlibrary.com/content/video/V2537194253001</t>
  </si>
  <si>
    <t>Supplementary Problem 2.20</t>
  </si>
  <si>
    <t>Chemistry | Chemicals | Stoichiometry | Decomposition | Sulfates | Molar mass</t>
  </si>
  <si>
    <t>https://www.accessengineeringlibrary.com/content/video/V2537194254001</t>
  </si>
  <si>
    <t>Supplementary Problem 3.37</t>
  </si>
  <si>
    <t>Chemistry | Molar mass</t>
  </si>
  <si>
    <t>https://www.accessengineeringlibrary.com/content/video/V2537194255001</t>
  </si>
  <si>
    <t>Supplementary Problem 4.21</t>
  </si>
  <si>
    <t>Chemistry | Chemicals | Zinc alloys | System of equations | Stoichiometry</t>
  </si>
  <si>
    <t>Sciences | Materials engineering | Mathematics | Chemical engineering</t>
  </si>
  <si>
    <t>https://www.accessengineeringlibrary.com/content/video/V2537194256001</t>
  </si>
  <si>
    <t>Supplementary Problem 4.38</t>
  </si>
  <si>
    <t>Chemistry | Chemical processes | Molar mass | Significant digits | Oxides | Mass</t>
  </si>
  <si>
    <t>Sciences | Chemical engineering | Mathematics</t>
  </si>
  <si>
    <t>https://www.accessengineeringlibrary.com/content/video/V2537194257001</t>
  </si>
  <si>
    <t>Supplementary Problem 5.33</t>
  </si>
  <si>
    <t>Chemistry | Water vapor | Volume | Gases | Combined gas law | Boyles Law</t>
  </si>
  <si>
    <t>Sciences | Civil engineering | Chemical engineering | Mechanical engineering</t>
  </si>
  <si>
    <t>https://www.accessengineeringlibrary.com/content/video/V2537194258001</t>
  </si>
  <si>
    <t>Supplementary Problem 6.46</t>
  </si>
  <si>
    <t>Molar mass | Chemistry | Fluid density | Carbon | Synthetic composites | Ideal gas law</t>
  </si>
  <si>
    <t>Sciences | Chemical engineering | Civil engineering | Mechanical engineering | Materials engineering</t>
  </si>
  <si>
    <t>https://www.accessengineeringlibrary.com/content/video/V2537194259001</t>
  </si>
  <si>
    <t>Supplementary Problem 7.30</t>
  </si>
  <si>
    <t>Chemistry | Heat transfer | Thermodynamic equilibrium | Enthalpy | Heat of fusion | Heat capacity</t>
  </si>
  <si>
    <t>Sciences | Chemical engineering | Mechanical engineering | Materials engineering</t>
  </si>
  <si>
    <t>https://www.accessengineeringlibrary.com/content/video/V2537194260001</t>
  </si>
  <si>
    <t>Supplementary Problem 8.23</t>
  </si>
  <si>
    <t>Chemistry | Wavelengths | Speed of light | Nitrogen | Bonding | Significant digits</t>
  </si>
  <si>
    <t>Sciences | Civil engineering | Mechanical engineering | Electrical engineering | Industrial engineering | Materials engineering | Mathematics</t>
  </si>
  <si>
    <t>https://www.accessengineeringlibrary.com/content/video/V2537194261001</t>
  </si>
  <si>
    <t>Supplementary Problem 9.40</t>
  </si>
  <si>
    <t>Chemistry | Sulfur | Nitrogen | Chemicals | Salts | Metals</t>
  </si>
  <si>
    <t>Sciences | Chemical engineering | Materials engineering</t>
  </si>
  <si>
    <t>https://www.accessengineeringlibrary.com/content/video/V2537194262001</t>
  </si>
  <si>
    <t>Supplementary Problem 10.12</t>
  </si>
  <si>
    <t>Chemistry | Volume formulas | Volume | Mass | Geometric properties of areas | Fluid density</t>
  </si>
  <si>
    <t>Sciences | Mathematics | Chemical engineering | Mechanical engineering | Civil engineering</t>
  </si>
  <si>
    <t>https://www.accessengineeringlibrary.com/content/video/V2537194263001</t>
  </si>
  <si>
    <t>Supplementary Problem 11.16</t>
  </si>
  <si>
    <t>Chemistry | Gold | Electrons | Chemical processes | Redox reactions | Oxygen</t>
  </si>
  <si>
    <t>Sciences | Materials engineering | Chemical engineering</t>
  </si>
  <si>
    <t>https://www.accessengineeringlibrary.com/content/video/V2537194264001</t>
  </si>
  <si>
    <t>Supplementary Problem 12.46</t>
  </si>
  <si>
    <t>Chemistry | Molar mass | Mass | Significant digits | Molecular weights | Brackets</t>
  </si>
  <si>
    <t>Sciences | Mathematics | Civil engineering</t>
  </si>
  <si>
    <t>https://www.accessengineeringlibrary.com/content/video/V2537194265001</t>
  </si>
  <si>
    <t>Supplementary Problem 13.21</t>
  </si>
  <si>
    <t>Chemistry | Molar mass | Mass | Titration | Chemical bases | Acids</t>
  </si>
  <si>
    <t>https://www.accessengineeringlibrary.com/content/video/V2537194266001</t>
  </si>
  <si>
    <t>Supplementary Problem 14.15</t>
  </si>
  <si>
    <t>Boiling point | Chemistry | Molar mass | Mass | Solvents | Fluid properties</t>
  </si>
  <si>
    <t>Chemical engineering | Sciences | Civil engineering | Mechanical engineering</t>
  </si>
  <si>
    <t>https://www.accessengineeringlibrary.com/content/video/V2537194267001</t>
  </si>
  <si>
    <t>Supplementary Problem 15.17</t>
  </si>
  <si>
    <t>Chemistry | Carbon | Bonding | Chemical bonding | Nitrogen | Ketones</t>
  </si>
  <si>
    <t>Sciences | Industrial engineering | Materials engineering | Chemical engineering</t>
  </si>
  <si>
    <t>https://www.accessengineeringlibrary.com/content/video/V2537194268001</t>
  </si>
  <si>
    <t>Supplementary Problem 16.29</t>
  </si>
  <si>
    <t>Chemistry | Chemical equilibrium | Stoichiometry | Physical properties | Ideal gas law | Free energy</t>
  </si>
  <si>
    <t>Sciences | Chemical engineering | Materials engineering | Mechanical engineering</t>
  </si>
  <si>
    <t>https://www.accessengineeringlibrary.com/content/video/V2537194269001</t>
  </si>
  <si>
    <t>Supplementary Problem 17.61</t>
  </si>
  <si>
    <t>Chemistry | Ionization | Chemical bases | Stoichiometry | Quadratic equations | Dissociation</t>
  </si>
  <si>
    <t>https://www.accessengineeringlibrary.com/content/video/V2537194270001</t>
  </si>
  <si>
    <t>Supplementary Problem 17.63</t>
  </si>
  <si>
    <t>Chemical bases | Chemistry | Acids | Salts | pH | Stoichiometry</t>
  </si>
  <si>
    <t>Chemical engineering | Sciences | Materials engineering</t>
  </si>
  <si>
    <t>https://www.accessengineeringlibrary.com/content/video/V2537194271001</t>
  </si>
  <si>
    <t>Supplementary Problem 18.36</t>
  </si>
  <si>
    <t>Solubility | Chemistry | Molar mass</t>
  </si>
  <si>
    <t>https://www.accessengineeringlibrary.com/content/video/V2537194272001</t>
  </si>
  <si>
    <t>Supplementary Problem 19.57</t>
  </si>
  <si>
    <t>Electrochemical cells | Chemistry | Free energy | Silver | Electric potential | Electrons</t>
  </si>
  <si>
    <t>Electrical engineering | Energy engineering | Mechanical engineering | Materials engineering | Sciences | Chemical engineering</t>
  </si>
  <si>
    <t>https://www.accessengineeringlibrary.com/content/video/V2537194273001</t>
  </si>
  <si>
    <t>Supplementary Problem 20.23</t>
  </si>
  <si>
    <t>Chemistry | Reaction kinetics | Benzene</t>
  </si>
  <si>
    <t>Sciences | Chemical engineering | Energy engineering</t>
  </si>
  <si>
    <t>https://www.accessengineeringlibrary.com/content/video/V2537194274001</t>
  </si>
  <si>
    <t>Supplementary Problem 21.20</t>
  </si>
  <si>
    <t>Chemistry | Radioactivity | Nuclear chemical engineering | Protons | Nickel alloys | Silver</t>
  </si>
  <si>
    <t>Sciences | Chemical engineering | Energy engineering | Materials engineering</t>
  </si>
  <si>
    <t>https://www.accessengineeringlibrary.com/content/video/V2537194275001</t>
  </si>
  <si>
    <t>Supplementary Problem 1.16</t>
  </si>
  <si>
    <t>Schaum's Outline of Organic Chemistry, Fifth Edition</t>
  </si>
  <si>
    <t>Organic chemistry | Organic chemicals | Bonding | Chemical bonding | Nitrogen | Carbon</t>
  </si>
  <si>
    <t>Sciences | Chemical engineering | Industrial engineering | Materials engineering</t>
  </si>
  <si>
    <t>https://www.accessengineeringlibrary.com/content/video/V2538364112001</t>
  </si>
  <si>
    <t>Supplementary Problem 2.39</t>
  </si>
  <si>
    <t>Resonance structures | Organic chemistry | Structural drawings | Organic chemicals | Carbon | Electrons</t>
  </si>
  <si>
    <t>Sciences | Civil engineering | Chemical engineering</t>
  </si>
  <si>
    <t>https://www.accessengineeringlibrary.com/content/video/V2538364113001</t>
  </si>
  <si>
    <t>Organic chemistry | Carbon | Bonding | Chemical bonding | Bonding processes</t>
  </si>
  <si>
    <t>Sciences | Industrial engineering | Materials engineering</t>
  </si>
  <si>
    <t>https://www.accessengineeringlibrary.com/content/video/V2538364114001</t>
  </si>
  <si>
    <t>Supplementary Problem 4.30</t>
  </si>
  <si>
    <t>Organic chemistry | Reagents | Carbon | Couplings | Bonding</t>
  </si>
  <si>
    <t>Sciences | Chemical engineering | Mechanical engineering | Industrial engineering | Materials engineering</t>
  </si>
  <si>
    <t>https://www.accessengineeringlibrary.com/content/video/V2538364115001</t>
  </si>
  <si>
    <t>Supplementary Problem 4.35</t>
  </si>
  <si>
    <t>Bonding | Organic chemistry | Organic chemicals | Dissociation | Combustion | Chemical bonding</t>
  </si>
  <si>
    <t>Industrial engineering | Materials engineering | Sciences | Chemical engineering | Mechanical engineering</t>
  </si>
  <si>
    <t>https://www.accessengineeringlibrary.com/content/video/V2538364116001</t>
  </si>
  <si>
    <t>Supplementary Problem 5.28</t>
  </si>
  <si>
    <t>Organic chemistry | Isomerism | Structural drawings | Carbon | Structural members | Chemistry</t>
  </si>
  <si>
    <t>Sciences | Civil engineering</t>
  </si>
  <si>
    <t>https://www.accessengineeringlibrary.com/content/video/V2538364117001</t>
  </si>
  <si>
    <t>Supplementary Problem 5.31</t>
  </si>
  <si>
    <t>Organic chemistry | Hydrogenation | Carbon | Structural drawings | Optical materials | Isomerism</t>
  </si>
  <si>
    <t>Sciences | Civil engineering | Materials engineering</t>
  </si>
  <si>
    <t>https://www.accessengineeringlibrary.com/content/video/V2538386742001</t>
  </si>
  <si>
    <t>Supplementary Problem 6.40</t>
  </si>
  <si>
    <t>Organic chemistry | Enthalpy</t>
  </si>
  <si>
    <t>Sciences | Chemical engineering | Mechanical engineering</t>
  </si>
  <si>
    <t>https://www.accessengineeringlibrary.com/content/video/V2538386743001</t>
  </si>
  <si>
    <t>Supplementary Problem 7.36</t>
  </si>
  <si>
    <t>Organic chemistry | Methanol | Carboxylic acids</t>
  </si>
  <si>
    <t>https://www.accessengineeringlibrary.com/content/video/V2538386744001</t>
  </si>
  <si>
    <t>Supplementary Problem 7.47</t>
  </si>
  <si>
    <t>Organic chemistry | Chemical bonding</t>
  </si>
  <si>
    <t>https://www.accessengineeringlibrary.com/content/video/V2538386745001</t>
  </si>
  <si>
    <t>Supplementary Problem 8.40</t>
  </si>
  <si>
    <t>Organic chemistry | Chemistry | Sulfuric acid | Sulfates | Silver | Chemical bonding</t>
  </si>
  <si>
    <t>https://www.accessengineeringlibrary.com/content/video/V2538386746001</t>
  </si>
  <si>
    <t>Supplementary Problem 9.43</t>
  </si>
  <si>
    <t>Organic chemistry | Carbon | Bonding | Hydrogenation | Chemical bonding | Acid catalysts</t>
  </si>
  <si>
    <t>https://www.accessengineeringlibrary.com/content/video/V2538386747001</t>
  </si>
  <si>
    <t>Supplementary Problem 10.29</t>
  </si>
  <si>
    <t>Organic chemistry | Bonding | Carbon | Structural drawings | Chemical bonding | Aromatics</t>
  </si>
  <si>
    <t>Sciences | Industrial engineering | Materials engineering | Civil engineering | Chemical engineering | Energy engineering</t>
  </si>
  <si>
    <t>https://www.accessengineeringlibrary.com/content/video/V2538386748001</t>
  </si>
  <si>
    <t>Supplementary Problem 11.39</t>
  </si>
  <si>
    <t>Organic chemistry | Benzene | Aromatics | Electrons | Structural drawings</t>
  </si>
  <si>
    <t>Sciences | Chemical engineering | Energy engineering | Civil engineering</t>
  </si>
  <si>
    <t>https://www.accessengineeringlibrary.com/content/video/V2538386749001</t>
  </si>
  <si>
    <t>Supplementary Problem 12.41</t>
  </si>
  <si>
    <t>Mass | Organic chemistry | Infrared spectroscopy | Substructures | Nitrogen | Carbon</t>
  </si>
  <si>
    <t>Sciences | Electrical engineering | Civil engineering</t>
  </si>
  <si>
    <t>https://www.accessengineeringlibrary.com/content/video/V2538386750001</t>
  </si>
  <si>
    <t>Supplementary Problem 12.47</t>
  </si>
  <si>
    <t>Carbon | Organic chemistry | Nuclear magnetic resonance spectroscopy | Bearings</t>
  </si>
  <si>
    <t>Sciences | Electrical engineering | Mechanical engineering</t>
  </si>
  <si>
    <t>https://www.accessengineeringlibrary.com/content/video/V2538386751001</t>
  </si>
  <si>
    <t>Supplementary Problem 13.32</t>
  </si>
  <si>
    <t>Organic chemistry | Reagents | Acids</t>
  </si>
  <si>
    <t>https://www.accessengineeringlibrary.com/content/video/V2538386752001</t>
  </si>
  <si>
    <t>Supplementary Problem 13.35</t>
  </si>
  <si>
    <t>Organic chemistry | Structural drawings | Carbon | Acids</t>
  </si>
  <si>
    <t>https://www.accessengineeringlibrary.com/content/video/V2538386753001</t>
  </si>
  <si>
    <t>Supplementary Problem 14.46</t>
  </si>
  <si>
    <t>Organic chemistry | Sulfuric acid | Chemical bonding | Byproducts</t>
  </si>
  <si>
    <t>Sciences | Chemical engineering | Materials engineering | Environmental engineering</t>
  </si>
  <si>
    <t>https://www.accessengineeringlibrary.com/content/video/V2538386754001</t>
  </si>
  <si>
    <t>Supplementary Problem 15.51</t>
  </si>
  <si>
    <t>Organic chemistry | Ketones | Reagents | Salts | Chemical bonding | Carbon</t>
  </si>
  <si>
    <t>https://www.accessengineeringlibrary.com/content/video/V2538386755001</t>
  </si>
  <si>
    <t>Supplementary Problem 16.63</t>
  </si>
  <si>
    <t>Organic chemistry | Chemical bonding | Carboxylic acids | Zinc alloys | Water treatment | Reagents</t>
  </si>
  <si>
    <t>Sciences | Materials engineering | Chemical engineering | Environmental engineering</t>
  </si>
  <si>
    <t>https://www.accessengineeringlibrary.com/content/video/V2538386756001</t>
  </si>
  <si>
    <t>Supplementary Problem 17.40</t>
  </si>
  <si>
    <t>Organic chemistry | Carbon | Condensation | Bonding | Bearings</t>
  </si>
  <si>
    <t>Sciences | Chemical engineering | Industrial engineering | Materials engineering | Mechanical engineering</t>
  </si>
  <si>
    <t>https://www.accessengineeringlibrary.com/content/video/V2538386757001</t>
  </si>
  <si>
    <t>Supplementary Problem 18.53</t>
  </si>
  <si>
    <t>Organic chemistry | Benzene | Chemical synthesis | Structural drawings | Inorganic chemicals | Chemistry</t>
  </si>
  <si>
    <t>https://www.accessengineeringlibrary.com/content/video/V2538386758001</t>
  </si>
  <si>
    <t>Supplementary Problem 19.18</t>
  </si>
  <si>
    <t>Organic chemistry | Carboxylic acids | Carbon | Acetic acids | Benzene</t>
  </si>
  <si>
    <t>https://www.accessengineeringlibrary.com/content/video/V2538386759001</t>
  </si>
  <si>
    <t>Schaum's Physics Supplementary Problem 3-18: Motion in One Dimension</t>
  </si>
  <si>
    <t>Schaum's Outline of Physics for Engineering and Science, Third Edition|Schaum's Outline of Physics for Engineering and Science, Fourth Edition</t>
  </si>
  <si>
    <t>9780071810906|9781260453836</t>
  </si>
  <si>
    <t>Sudipa Mitra-Kirtley</t>
  </si>
  <si>
    <t>Physics | Acceleration | Kinematics | Traffic signals</t>
  </si>
  <si>
    <t>https://www.accessengineeringlibrary.com/content/video/V2630022175001</t>
  </si>
  <si>
    <t>Schaum's Physics Supplementary Problem 3-29: Time and Speed in One Dimension</t>
  </si>
  <si>
    <t>Physics | Acceleration | Equations of motion | Velocity | Gravity | Deceleration</t>
  </si>
  <si>
    <t>Sciences | Civil engineering | Mechanical engineering | Mathematics</t>
  </si>
  <si>
    <t>https://www.accessengineeringlibrary.com/content/video/V2630022176001</t>
  </si>
  <si>
    <t>Schaum's Physics Supplementary Problem 4-11: Motion in a Plane</t>
  </si>
  <si>
    <t>Physics | Acceleration | Velocity | Tangent | Gravity</t>
  </si>
  <si>
    <t>https://www.accessengineeringlibrary.com/content/video/V2630022177001</t>
  </si>
  <si>
    <t>Schaum's Physics Supplementary Problem 4-21: Circular Motion</t>
  </si>
  <si>
    <t>Physics | Acceleration | Fan blades | Circles | Speed | Electric fields</t>
  </si>
  <si>
    <t>Sciences | Civil engineering | Mechanical engineering | Aerospace engineering | Chemical engineering | Mathematics</t>
  </si>
  <si>
    <t>https://www.accessengineeringlibrary.com/content/video/V2630022178001</t>
  </si>
  <si>
    <t>Schaum's Physics Supplementary Problem 5-29: Newton's Laws of Motion</t>
  </si>
  <si>
    <t>Physics | Newtons laws of motion | Sine | Tangent | Cosine | Tension</t>
  </si>
  <si>
    <t>Sciences | Aerospace engineering | Civil engineering | Mechanical engineering | Mathematics</t>
  </si>
  <si>
    <t>https://www.accessengineeringlibrary.com/content/video/V2630022179001</t>
  </si>
  <si>
    <t>Schaum's Physics Supplementary Problem 5-41: Frictional Force and Constant Acceleration</t>
  </si>
  <si>
    <t>Physics | Acceleration | Force | Mass | Friction | Coefficient of friction</t>
  </si>
  <si>
    <t>Sciences | Civil engineering | Mechanical engineering | Materials engineering</t>
  </si>
  <si>
    <t>https://www.accessengineeringlibrary.com/content/video/V2630022180001</t>
  </si>
  <si>
    <t>Schaum's Physics Supplementary Problem 6-14: Advanced Circular Motion</t>
  </si>
  <si>
    <t>Physics | Newtons laws of motion | Angular velocity | Acceleration | Mass</t>
  </si>
  <si>
    <t>Sciences | Aerospace engineering | Civil engineering | Mechanical engineering</t>
  </si>
  <si>
    <t>https://www.accessengineeringlibrary.com/content/video/V2630022181001</t>
  </si>
  <si>
    <t>Schaum's Physics Supplementary Problem 6-16: Newton's Laws of Motion with Circular Motion</t>
  </si>
  <si>
    <t>Physics | Newtons laws of motion | Angular velocity | Cosine | Tangent | Sine</t>
  </si>
  <si>
    <t>https://www.accessengineeringlibrary.com/content/video/V2630022182001</t>
  </si>
  <si>
    <t>Schaum's Physics Supplementary Problem 7-15: Work and Energy</t>
  </si>
  <si>
    <t>Physics | Energy and work | Velocity | Force | Mass | Kinetic theory</t>
  </si>
  <si>
    <t>Sciences | Chemical engineering | Mechanical engineering | Civil engineering</t>
  </si>
  <si>
    <t>https://www.accessengineeringlibrary.com/content/video/V2630022183001</t>
  </si>
  <si>
    <t>Schaum's Physics Supplementary Problem 7-19: Work-Energy Theorem Involving a Spring</t>
  </si>
  <si>
    <t>Physics | Kinetic energy | Mechanical springs | Mass | Kinetic theory | Acceleration</t>
  </si>
  <si>
    <t>https://www.accessengineeringlibrary.com/content/video/V2630022184001</t>
  </si>
  <si>
    <t>Schaum's Physics Supplementary Problem 8-19: Gravitational Potential Energy</t>
  </si>
  <si>
    <t>Physics | Potential energy | Conservation of energy | Mass | Kinetic energy | Friction</t>
  </si>
  <si>
    <t>https://www.accessengineeringlibrary.com/content/video/V2630022185001</t>
  </si>
  <si>
    <t>Schaum's Physics Supplementary Problem 8-22: Spring Potential Energy</t>
  </si>
  <si>
    <t>Physics | Potential energy | Kinetic energy | Conservation of energy | Mass | Energy potential</t>
  </si>
  <si>
    <t>Sciences | Chemical engineering | Mechanical engineering | Electrical engineering | Energy engineering</t>
  </si>
  <si>
    <t>https://www.accessengineeringlibrary.com/content/video/V2630022186001</t>
  </si>
  <si>
    <t>Schaum's Physics Supplementary Problem 9-15: Conservation of Linear Momentum</t>
  </si>
  <si>
    <t>Physics | Linear momentum | Velocity | Mass | Momentum</t>
  </si>
  <si>
    <t>https://www.accessengineeringlibrary.com/content/video/V2630022187001</t>
  </si>
  <si>
    <t>Schaum's Physics Supplementary Problem 9-26: Center of Mass</t>
  </si>
  <si>
    <t>Physics | Centers of mass | Mass</t>
  </si>
  <si>
    <t>https://www.accessengineeringlibrary.com/content/video/V2630022188001</t>
  </si>
  <si>
    <t>Schaum's Physics Supplementary Problem 10-15: Rotational Motion</t>
  </si>
  <si>
    <t>Physics | Spin | Kinematics | Equations of motion | Angular velocity | Angular acceleration</t>
  </si>
  <si>
    <t>https://www.accessengineeringlibrary.com/content/video/V2630022189001</t>
  </si>
  <si>
    <t>Schaum's Physics Supplementary Problem 10-24: Moment of Inertia</t>
  </si>
  <si>
    <t>Physics | Moment of inertia | Conservation of energy | Kinetic energy | Potential energy | Energy potential</t>
  </si>
  <si>
    <t>Sciences | Civil engineering | Mechanical engineering | Chemical engineering | Electrical engineering | Energy engineering</t>
  </si>
  <si>
    <t>https://www.accessengineeringlibrary.com/content/video/V2630022190001</t>
  </si>
  <si>
    <t>Schaum's Physics Supplementary Problem 11-13: Conservation of Angular Momentum</t>
  </si>
  <si>
    <t>Physics | Angular momentum | Centers of mass | Comets | Orbital mechanics | Sine</t>
  </si>
  <si>
    <t>Sciences | Civil engineering | Mechanical engineering | Aerospace engineering | Mathematics</t>
  </si>
  <si>
    <t>https://www.accessengineeringlibrary.com/content/video/V2630022191001</t>
  </si>
  <si>
    <t>Schaum's Physics Supplementary Problem 11-18: Conservation of Angular Momentum</t>
  </si>
  <si>
    <t>Physics | Angular momentum | Relative velocity | Moment of inertia | Centers of mass | Angular velocity</t>
  </si>
  <si>
    <t>https://www.accessengineeringlibrary.com/content/video/V2630022192001</t>
  </si>
  <si>
    <t>Schaum's Physics Supplementary Problem 12-12: Static Equilibrium</t>
  </si>
  <si>
    <t>Physics | Static equilibrium | Torque | Pythagorean theorem | Right triangles | Force</t>
  </si>
  <si>
    <t>https://www.accessengineeringlibrary.com/content/video/V2630022193001</t>
  </si>
  <si>
    <t>Schaum's Physics Supplementary Problem 12-19: A Ladder in Static Equilibrium</t>
  </si>
  <si>
    <t>Physics | Static equilibrium | Cosine | Sine | Coefficient of friction | Torque</t>
  </si>
  <si>
    <t>Sciences | Civil engineering | Mechanical engineering | Mathematics | Materials engineering</t>
  </si>
  <si>
    <t>https://www.accessengineeringlibrary.com/content/video/V2630022194001</t>
  </si>
  <si>
    <t>Schaum's Physics Supplementary Problem 13-11: Simple Harmonic Motion</t>
  </si>
  <si>
    <t>Physics | Harmonics | Sine | Acceleration | Mechanical springs | Inclined planes</t>
  </si>
  <si>
    <t>https://www.accessengineeringlibrary.com/content/video/V2630022195001</t>
  </si>
  <si>
    <t>Schaum's Physics Supplementary Problem 13-16: Energy in Simple Harmonic Motion</t>
  </si>
  <si>
    <t>Physics | Harmonics | Potential energy | Conservation of energy | Kinetic energy | Amplitude</t>
  </si>
  <si>
    <t>Sciences | Civil engineering | Mechanical engineering | Chemical engineering | Electrical engineering</t>
  </si>
  <si>
    <t>https://www.accessengineeringlibrary.com/content/video/V2630022196001</t>
  </si>
  <si>
    <t>Schaum's Physics Supplementary Problem 14-15: Universal Law of Gravitation</t>
  </si>
  <si>
    <t>Physics | Gravity | Potential energy | Energy conservation | Rockets | Mass</t>
  </si>
  <si>
    <t>Sciences | Civil engineering | Mechanical engineering | Chemical engineering | Electrical engineering | Energy engineering | Aerospace engineering</t>
  </si>
  <si>
    <t>https://www.accessengineeringlibrary.com/content/video/V2630022197001</t>
  </si>
  <si>
    <t>Schaum's Physics Supplementary Problem 15-12: Fluid Motion</t>
  </si>
  <si>
    <t>Physics | Flow rate | Flow velocity | Arteries</t>
  </si>
  <si>
    <t>Sciences | Chemical engineering | Civil engineering | Mechanical engineering | Bioengineering</t>
  </si>
  <si>
    <t>https://www.accessengineeringlibrary.com/content/video/V2630022198001</t>
  </si>
  <si>
    <t>Schaum's Physics Supplementary Problem 15-14: Bernoulli's Principle</t>
  </si>
  <si>
    <t>Physics | Buoyancy | Wood | Fluid density | Density | Mass</t>
  </si>
  <si>
    <t>https://www.accessengineeringlibrary.com/content/video/V2630022199001</t>
  </si>
  <si>
    <t>Schaum's Biology Problem 1.6: Attributes of Life</t>
  </si>
  <si>
    <t>Schaum's Outline of Biology, Fifth Edition|Schaum's Outline of Biology, Fourth Edition</t>
  </si>
  <si>
    <t>9781260120783|9780071811309</t>
  </si>
  <si>
    <t>Ella Ingram</t>
  </si>
  <si>
    <t>Biology | Radiation | Photosynthesis | Homeostasis | Chemistry | Soils</t>
  </si>
  <si>
    <t>Bioengineering | Sciences | Civil engineering</t>
  </si>
  <si>
    <t>https://www.accessengineeringlibrary.com/content/video/V2707151783001</t>
  </si>
  <si>
    <t>Schaum's Biology Problem 2.23: Properties of Water</t>
  </si>
  <si>
    <t>Fluid properties | Biology | Chemical properties | Atomic structure | Hydrogen bonding | Covalent bonding</t>
  </si>
  <si>
    <t>Chemical engineering | Civil engineering | Mechanical engineering | Bioengineering | Sciences | Materials engineering</t>
  </si>
  <si>
    <t>https://www.accessengineeringlibrary.com/content/video/V2707151784001</t>
  </si>
  <si>
    <t>Schaum's Biology Problem 3.5: Protein Structure</t>
  </si>
  <si>
    <t>Proteins | Biology | Hydrogen bonding | Bonding | Covalent bonding</t>
  </si>
  <si>
    <t>Bioengineering | Sciences | Materials engineering | Industrial engineering</t>
  </si>
  <si>
    <t>https://www.accessengineeringlibrary.com/content/video/V2707151785001</t>
  </si>
  <si>
    <t>Schaum's Biology Problem 4.17: Cell Size</t>
  </si>
  <si>
    <t>Biology | Surface area ratio | Cell signaling | Cell membranes | Cell processes | Cell communication</t>
  </si>
  <si>
    <t>Bioengineering | Sciences | Materials engineering</t>
  </si>
  <si>
    <t>https://www.accessengineeringlibrary.com/content/video/V2707151786001</t>
  </si>
  <si>
    <t>Schaum's Biology Problem 5.13: Oxidation Reduction Reactions</t>
  </si>
  <si>
    <t>Reduction reactions | Biology | Redox reactions | Electrons</t>
  </si>
  <si>
    <t>Sciences | Bioengineering</t>
  </si>
  <si>
    <t>https://www.accessengineeringlibrary.com/content/video/V2707151787001</t>
  </si>
  <si>
    <t>Schaum's Biology Problem 6.5: Cyclic Electron Flow</t>
  </si>
  <si>
    <t>Electrons | Biology | Photosynthesis | Reduction reactions | Process time</t>
  </si>
  <si>
    <t>Sciences | Bioengineering | Industrial engineering</t>
  </si>
  <si>
    <t>https://www.accessengineeringlibrary.com/content/video/V2707151788001</t>
  </si>
  <si>
    <t>Schaum's Biology Problem 7.12: Replication Comparison</t>
  </si>
  <si>
    <t>Biology | DNA | Genomics | Meiosis | Cell division</t>
  </si>
  <si>
    <t>Bioengineering | Sciences | Computer science</t>
  </si>
  <si>
    <t>https://www.accessengineeringlibrary.com/content/video/V2707151789001</t>
  </si>
  <si>
    <t>Schaum's Biology Problem 8.11: Chromosome Abnormalities</t>
  </si>
  <si>
    <t>Biology | Meiosis | Separation processes</t>
  </si>
  <si>
    <t>Bioengineering | Sciences | Chemical engineering</t>
  </si>
  <si>
    <t>https://www.accessengineeringlibrary.com/content/video/V2707151790001</t>
  </si>
  <si>
    <t>Schaum's Biology Problem 9.5: Dominant and Deleterious</t>
  </si>
  <si>
    <t>Biology | Meiosis | Genetics</t>
  </si>
  <si>
    <t>https://www.accessengineeringlibrary.com/content/video/V2707151791001</t>
  </si>
  <si>
    <t>Schaum's Biology Problem 10.8: Histone Role in Transcription</t>
  </si>
  <si>
    <t>Biology | DNA | Remodeling | Proteins | Solenoids | Positive charge</t>
  </si>
  <si>
    <t>Bioengineering | Sciences | Civil engineering | Electrical engineering</t>
  </si>
  <si>
    <t>https://www.accessengineeringlibrary.com/content/video/V2707151792001</t>
  </si>
  <si>
    <t>Schaum's Biology Problem 11.2: Cell Movement in Embryogenesis</t>
  </si>
  <si>
    <t>Biology | Delamination | Cell processes | Proteins | Mass | Centers of mass</t>
  </si>
  <si>
    <t>Bioengineering | Sciences | Industrial engineering | Materials engineering</t>
  </si>
  <si>
    <t>https://www.accessengineeringlibrary.com/content/video/V2707151793001</t>
  </si>
  <si>
    <t>Schaum's Biology Problem 13.13: Structure of the Stem</t>
  </si>
  <si>
    <t>Biology | Wood</t>
  </si>
  <si>
    <t>Bioengineering | Sciences | Civil engineering | Materials engineering</t>
  </si>
  <si>
    <t>https://www.accessengineeringlibrary.com/content/video/V2707151794001</t>
  </si>
  <si>
    <t>Schaum's Biology Problem 15.6: Insulin Hormone Interaction</t>
  </si>
  <si>
    <t>Biology | Proteins | Muscles | Stress | Blood</t>
  </si>
  <si>
    <t>Bioengineering | Sciences | Civil engineering | Mechanical engineering</t>
  </si>
  <si>
    <t>https://www.accessengineeringlibrary.com/content/video/V2707151795001</t>
  </si>
  <si>
    <t>Schaum's Biology Problem 16.3: Cellulose Digestion</t>
  </si>
  <si>
    <t>Cellulose | Biology | Wood | Intestinal tract | Stomach | Polysaccharides</t>
  </si>
  <si>
    <t>Bioengineering | Materials engineering | Sciences | Civil engineering</t>
  </si>
  <si>
    <t>https://www.accessengineeringlibrary.com/content/video/V2707151796001</t>
  </si>
  <si>
    <t>Schaum's Biology Problem 17.4: Fish Osmoregulation</t>
  </si>
  <si>
    <t>Biology | Salts | Potable water | Water filtration | Water absorption | Stomach</t>
  </si>
  <si>
    <t>Bioengineering | Sciences | Chemical engineering | Civil engineering | Energy engineering | Environmental engineering</t>
  </si>
  <si>
    <t>https://www.accessengineeringlibrary.com/content/video/V2707151797001</t>
  </si>
  <si>
    <t>Schaum's Biology Problem 18.7: Vein Function</t>
  </si>
  <si>
    <t>Veins | Biology | Blood flow | Valves flow | Valves | Heart</t>
  </si>
  <si>
    <t>https://www.accessengineeringlibrary.com/content/video/V2707151798001</t>
  </si>
  <si>
    <t>Schaum's Biology Problem 19.6: Antibody Function</t>
  </si>
  <si>
    <t>Biology | Mass | Proteins | Latches | Immune system | Cell signaling</t>
  </si>
  <si>
    <t>Bioengineering | Sciences | Mechanical engineering</t>
  </si>
  <si>
    <t>https://www.accessengineeringlibrary.com/content/video/V2707151799001</t>
  </si>
  <si>
    <t>Schaum's Biology Problem 20.13: Oxygen Pressure in Lungs</t>
  </si>
  <si>
    <t>Lungs | Biology | Pressurized systems | Mercury | Atmospheric pressure | Arteries</t>
  </si>
  <si>
    <t>Bioengineering | Sciences | Mechanical engineering | Chemical engineering | Civil engineering</t>
  </si>
  <si>
    <t>https://www.accessengineeringlibrary.com/content/video/V2707151800001</t>
  </si>
  <si>
    <t>Schaum's Biology Problem 21.8: Thyroid Hormone Malfunction</t>
  </si>
  <si>
    <t>Malfunctions | Biology | Signals and systems | Cell signaling | Cell division</t>
  </si>
  <si>
    <t>Industrial engineering | Bioengineering | Sciences | Electrical engineering</t>
  </si>
  <si>
    <t>https://www.accessengineeringlibrary.com/content/video/V2707151801001</t>
  </si>
  <si>
    <t>Schaum's Biology Problem 23.4: Muscle Innervation</t>
  </si>
  <si>
    <t>Muscles | Biology | Central nervous system | Intestinal tract | Pumping | Musculoskeletal system</t>
  </si>
  <si>
    <t>https://www.accessengineeringlibrary.com/content/video/V2707151802001</t>
  </si>
  <si>
    <t>Schaum's Biology Problem 26.10: Biomagnification</t>
  </si>
  <si>
    <t>Biology | Water supply | Mercury</t>
  </si>
  <si>
    <t>Bioengineering | Sciences | Civil engineering | Energy engineering | Environmental engineering</t>
  </si>
  <si>
    <t>https://www.accessengineeringlibrary.com/content/video/V2707151803001</t>
  </si>
  <si>
    <t>Schaum's Biology Problem 28.3: Endosymbiosis</t>
  </si>
  <si>
    <t>Biology | DNA | Photosynthesis | Binary fission | Genomics | Cell processes</t>
  </si>
  <si>
    <t>https://www.accessengineeringlibrary.com/content/video/V2707151804001</t>
  </si>
  <si>
    <t>Schaum's Biology Problem 29.4: Parasite Reproduction</t>
  </si>
  <si>
    <t>Biology | Reproductive system | Blood cells | Blood | Water supply</t>
  </si>
  <si>
    <t>https://www.accessengineeringlibrary.com/content/video/V2707151805001</t>
  </si>
  <si>
    <t>Thermal Science Example 7-7</t>
  </si>
  <si>
    <t>Thermal Science: Essentials of Thermodynamics, Fluid Mechanics, and Heat Transfer</t>
  </si>
  <si>
    <t>Erian Baskharone</t>
  </si>
  <si>
    <t>Fans | Thermodynamic science | Mechanical thermodynamics | Heat transfer | Fluid mechanics | Turbofan engines</t>
  </si>
  <si>
    <t>Aerospace engineering | Chemical engineering | Civil engineering | Mechanical engineering | Sciences | Electrical engineering | Energy engineering</t>
  </si>
  <si>
    <t>https://www.accessengineeringlibrary.com/content/video/V2758874978001</t>
  </si>
  <si>
    <t>Thermal Science Problem 10-3</t>
  </si>
  <si>
    <t>Thermodynamic science | Mechanical thermodynamics | Heat transfer | Fluid mechanics | Rotors | Compressors</t>
  </si>
  <si>
    <t>Sciences | Mechanical engineering | Chemical engineering | Civil engineering | Electrical engineering | Energy engineering</t>
  </si>
  <si>
    <t>https://www.accessengineeringlibrary.com/content/video/V2758874979001</t>
  </si>
  <si>
    <t>Thermal Science Problem 10-6</t>
  </si>
  <si>
    <t>Thermodynamic science | Mechanical thermodynamics | Heat transfer | Fluid mechanics | Rotors | Turbines</t>
  </si>
  <si>
    <t>https://www.accessengineeringlibrary.com/content/video/V2758874980001</t>
  </si>
  <si>
    <t>Thermal Science Problem 11-1</t>
  </si>
  <si>
    <t>Thermodynamic science | Mechanical thermodynamics | Heat transfer | Fluid mechanics | Turbines | Airfoils</t>
  </si>
  <si>
    <t>Sciences | Mechanical engineering | Chemical engineering | Civil engineering | Electrical engineering | Energy engineering | Aerospace engineering</t>
  </si>
  <si>
    <t>https://www.accessengineeringlibrary.com/content/video/V2758874981001</t>
  </si>
  <si>
    <t>Thermal Science Problem 11-4</t>
  </si>
  <si>
    <t>Thermodynamic science | Mechanical thermodynamics | Heat transfer | Fluid mechanics | Compressors | Rotors</t>
  </si>
  <si>
    <t>https://www.accessengineeringlibrary.com/content/video/V2758874982001</t>
  </si>
  <si>
    <t>Thermal Science Problem 11-2</t>
  </si>
  <si>
    <t>Thermodynamic science | Mechanical thermodynamics | Heat transfer | Fluid mechanics | Shafts | Turbomachinery</t>
  </si>
  <si>
    <t>https://www.accessengineeringlibrary.com/content/video/V2758874983001</t>
  </si>
  <si>
    <t>Thermal Science Example 13-1</t>
  </si>
  <si>
    <t>Thermodynamic science | Mechanical thermodynamics | Heat transfer | Fluid mechanics | Thermodynamic properties | Oblique shock</t>
  </si>
  <si>
    <t>Sciences | Mechanical engineering | Chemical engineering | Civil engineering</t>
  </si>
  <si>
    <t>https://www.accessengineeringlibrary.com/content/video/V2758874984001</t>
  </si>
  <si>
    <t>Thermal Science Example 4-2</t>
  </si>
  <si>
    <t>Thermodynamic science | Mechanical thermodynamics | Heat transfer | Fluid mechanics | Superheated steam | Internal energy</t>
  </si>
  <si>
    <t>https://www.accessengineeringlibrary.com/content/video/V2758874985001</t>
  </si>
  <si>
    <t>Thermal Science Example 4-3</t>
  </si>
  <si>
    <t>Thermodynamic science | Mechanical thermodynamics | Heat transfer | Fluid mechanics | Isentropic processes | Entropy</t>
  </si>
  <si>
    <t>https://www.accessengineeringlibrary.com/content/video/V2758874986001</t>
  </si>
  <si>
    <t>Thermal Science Problem 17-2</t>
  </si>
  <si>
    <t>Thermodynamic science | Mechanical thermodynamics | Heat transfer | Fluid mechanics | Combustion chambers | Mach number</t>
  </si>
  <si>
    <t>https://www.accessengineeringlibrary.com/content/video/V2758874987001</t>
  </si>
  <si>
    <t>Thermal Science Example 4-16</t>
  </si>
  <si>
    <t>Thermodynamic science | Mechanical thermodynamics | Heat transfer | Fluid mechanics | Entropy | Volume</t>
  </si>
  <si>
    <t>https://www.accessengineeringlibrary.com/content/video/V2758874988001</t>
  </si>
  <si>
    <t>Thermal Science Problem 15-4</t>
  </si>
  <si>
    <t>Thermodynamic science | Mechanical thermodynamics | Heat transfer | Fluid mechanics | Pressure drop | Laminar flow</t>
  </si>
  <si>
    <t>https://www.accessengineeringlibrary.com/content/video/V2758874989001</t>
  </si>
  <si>
    <t>Thermal Science Problem 4-8</t>
  </si>
  <si>
    <t>Condensation heat transfer | Thermodynamic science | Mechanical thermodynamics | Heat transfer | Fluid mechanics | Superheated steam</t>
  </si>
  <si>
    <t>https://www.accessengineeringlibrary.com/content/video/V2758874990001</t>
  </si>
  <si>
    <t>Thermal Science Problem 17-1</t>
  </si>
  <si>
    <t>Thermodynamic science | Mechanical thermodynamics | Heat transfer | Fluid mechanics | Compressible flow | Mach number</t>
  </si>
  <si>
    <t>Sciences | Mechanical engineering | Chemical engineering | Civil engineering | Aerospace engineering</t>
  </si>
  <si>
    <t>https://www.accessengineeringlibrary.com/content/video/V2758874991001</t>
  </si>
  <si>
    <t>Thermal Science Problem 20-2</t>
  </si>
  <si>
    <t>Heat transfer | Heat exchangers | Thermodynamic science | Mechanical thermodynamics | Fluid mechanics | Temperature</t>
  </si>
  <si>
    <t>https://www.accessengineeringlibrary.com/content/video/V2758874992001</t>
  </si>
  <si>
    <t>Handbook of Mechanical Engineering Calculations 8.1: Pressure Surge in a Piping System from Rapid Valve Closure</t>
  </si>
  <si>
    <t>Handbook of Mechanical Engineering Calculations, Second Edition</t>
  </si>
  <si>
    <t>Rana Mitra</t>
  </si>
  <si>
    <t>Mechanical engineering | Valves | Piping systems | P waves | Pipes | Pipe flow</t>
  </si>
  <si>
    <t>Mechanical engineering | Chemical engineering | Civil engineering | Sciences</t>
  </si>
  <si>
    <t>https://www.accessengineeringlibrary.com/content/video/V2812434215001</t>
  </si>
  <si>
    <t>Handbook of Mechanical Engineering Calculations 8.2: Piping Pressure Surge with Different Material and Fluid</t>
  </si>
  <si>
    <t>Mechanical engineering | Piping | Pipes | Valves | Piping systems | P waves</t>
  </si>
  <si>
    <t>Mechanical engineering | Civil engineering | Chemical engineering | Sciences</t>
  </si>
  <si>
    <t>https://www.accessengineeringlibrary.com/content/video/V2812434216001</t>
  </si>
  <si>
    <t>Handbook of Mechanical Engineering Calculations 8.4: Quick Calculation of Flow Rate and Pressure Drop in Piping Systems</t>
  </si>
  <si>
    <t>Flow rate | Pressure drop | Mechanical engineering | Piping systems | Pipe flow | Static pressure</t>
  </si>
  <si>
    <t>https://www.accessengineeringlibrary.com/content/video/V2812434217001</t>
  </si>
  <si>
    <t>Handbook of Mechanical Engineering Calculations 8.6: Pipe-Wall Thickness and Schedule Number</t>
  </si>
  <si>
    <t>Mechanical engineering | Pipes | Flow velocity | Piping | Flow rate | Specific volume</t>
  </si>
  <si>
    <t>https://www.accessengineeringlibrary.com/content/video/V2812434218001</t>
  </si>
  <si>
    <t>Handbook of Mechanical Engineering Calculations 8.7: Pipe-Wall Thickness Determination by Piping Code Formula</t>
  </si>
  <si>
    <t>Mechanical engineering | Piping | Pipes | Allowable stress | Temperature coefficients | Steel</t>
  </si>
  <si>
    <t>https://www.accessengineeringlibrary.com/content/video/V2812434219001</t>
  </si>
  <si>
    <t>Handbook of Mechanical Engineering Calculations 8.11: Selecting Heat Insulation for High-Temperature Piping</t>
  </si>
  <si>
    <t>Mechanical engineering | Piping | Temperature | Pipes | Fuels | Watts</t>
  </si>
  <si>
    <t>Mechanical engineering | Civil engineering | Chemical engineering | Sciences | Energy engineering | Electrical engineering</t>
  </si>
  <si>
    <t>https://www.accessengineeringlibrary.com/content/video/V2812434220001</t>
  </si>
  <si>
    <t>Handbook of Mechanical Engineering Calculations 8.15: Friction-Head Loss in Water Piping of Various Materials</t>
  </si>
  <si>
    <t>Mechanical engineering | Piping | Pipes | Pressure drop | Friction loss | Pipe flow</t>
  </si>
  <si>
    <t>Mechanical engineering | Civil engineering | Chemical engineering</t>
  </si>
  <si>
    <t>https://www.accessengineeringlibrary.com/content/video/V2812434221001</t>
  </si>
  <si>
    <t>Handbook of Mechanical Engineering Calculations 8.17: Relative Carrying Capacity of Pipes</t>
  </si>
  <si>
    <t>Pipes | Mechanical engineering | Gases | Atmospheric science | Piping</t>
  </si>
  <si>
    <t>https://www.accessengineeringlibrary.com/content/video/V2812434222001</t>
  </si>
  <si>
    <t>Handbook of Mechanical Engineering Calculations 8.20: Equivalent Length of a Complex Series Pipeline</t>
  </si>
  <si>
    <t>Mechanical engineering | Pipelines | Pipes | Friction factors | Water wells | Water pipelines</t>
  </si>
  <si>
    <t>https://www.accessengineeringlibrary.com/content/video/V2812434223001</t>
  </si>
  <si>
    <t>Handbook of Mechanical Engineering Calculations 26.5: Machine Process Calculations - Total Element Time and Total Operation Time</t>
  </si>
  <si>
    <t>Process time | Mechanical engineering | Metalworking | Machining | Manufacturing | Quality management</t>
  </si>
  <si>
    <t>Industrial engineering | Mechanical engineering | Materials engineering | Engineering management</t>
  </si>
  <si>
    <t>https://www.accessengineeringlibrary.com/content/video/V2812434224001</t>
  </si>
  <si>
    <t>Handbook of Mechanical Engineering Calculations 26.6: Cutting Speeds for Various Materials</t>
  </si>
  <si>
    <t>Mechanical engineering | Polymers | Metals | Manufacturing</t>
  </si>
  <si>
    <t>Mechanical engineering | Chemical engineering | Materials engineering | Sciences | Industrial engineering</t>
  </si>
  <si>
    <t>https://www.accessengineeringlibrary.com/content/video/V2812434225001</t>
  </si>
  <si>
    <t>Handbook of Mechanical Engineering Calculations 26.7: Depth of Cut and Cutting Time for a Keyway</t>
  </si>
  <si>
    <t>Keyways | Mechanical engineering | Metalworking | Shafts | Circles</t>
  </si>
  <si>
    <t>Mechanical engineering | Materials engineering | Mathematics</t>
  </si>
  <si>
    <t>https://www.accessengineeringlibrary.com/content/video/V2812434226001</t>
  </si>
  <si>
    <t>Handbook of Mechanical Engineering Calculations 26.11: Total Feed Rate and Cutting Time</t>
  </si>
  <si>
    <t>Mechanical engineering | Metalworking | Metals | Machining</t>
  </si>
  <si>
    <t>Mechanical engineering | Materials engineering | Industrial engineering</t>
  </si>
  <si>
    <t>https://www.accessengineeringlibrary.com/content/video/V2812434227001</t>
  </si>
  <si>
    <t>Handbook of Mechanical Engineering Calculations 26.12: True Unit Time, Minimum Lot Size and Tool-Change Time</t>
  </si>
  <si>
    <t>Mechanical engineering | Metalworking | Process time | Lathes</t>
  </si>
  <si>
    <t>https://www.accessengineeringlibrary.com/content/video/V2812434228001</t>
  </si>
  <si>
    <t>Handbook of Mechanical Engineering Calculations 26.38: Determining Brinell Hardness</t>
  </si>
  <si>
    <t>Brinell hardness | Mechanical engineering | Non ferrous metals | Steel | Materials analysis | Knoop hardness</t>
  </si>
  <si>
    <t>Materials engineering | Mechanical engineering | Civil engineering</t>
  </si>
  <si>
    <t>https://www.accessengineeringlibrary.com/content/video/V2812434229001</t>
  </si>
  <si>
    <t>Schaum's Feedback and Control Systems Problem 2.23: Block Diagrams</t>
  </si>
  <si>
    <t>Schaum's Outline of Feedback and Control Systems, Second Edition</t>
  </si>
  <si>
    <t>Control systems | Block diagrams | Feedback control systems | Sensors | Feedback loops | Linkages</t>
  </si>
  <si>
    <t>https://www.accessengineeringlibrary.com/content/video/V2928693102001</t>
  </si>
  <si>
    <t>Schaum's Feedback and Control Systems Problem 3.39: Nonlinear system</t>
  </si>
  <si>
    <t>Nonlinear systems | Control systems | Linear systems | Nonlinear equations | Feedback control systems</t>
  </si>
  <si>
    <t>https://www.accessengineeringlibrary.com/content/video/V2928693103001</t>
  </si>
  <si>
    <t>Schaum's Feedback and Control Systems Problem 4.44/4.45: Initial and Final Value Theorems</t>
  </si>
  <si>
    <t>Control systems | Initial value theorem | Final value theorem | Laplace transform</t>
  </si>
  <si>
    <t>https://www.accessengineeringlibrary.com/content/video/V2928693104001</t>
  </si>
  <si>
    <t>Schaum's Feedback and Control Systems Problem 4.49: Laplace Transforms</t>
  </si>
  <si>
    <t>Control systems | Laplace transform | Forced response | Differential equations | Derivatives | Inverse Laplace transforms</t>
  </si>
  <si>
    <t>https://www.accessengineeringlibrary.com/content/video/V2928693105001</t>
  </si>
  <si>
    <t>Schaum's Feedback and Control Systems Problem 5.30: Stable Systems</t>
  </si>
  <si>
    <t>Control systems | Stable system | Routh criterion | Unstable system | 5S</t>
  </si>
  <si>
    <t>https://www.accessengineeringlibrary.com/content/video/V2928693106001</t>
  </si>
  <si>
    <t>Schaum's Feedback and Control Systems Problem 6.44: Transfer Function Example 1</t>
  </si>
  <si>
    <t>Control systems | Transfer functions | RC circuits | Frequency domains | Resistors | Impedance</t>
  </si>
  <si>
    <t>Electrical engineering | Mechanical engineering | Mathematics | Materials engineering | Sciences</t>
  </si>
  <si>
    <t>https://www.accessengineeringlibrary.com/content/video/V2928693107001</t>
  </si>
  <si>
    <t>Schaum's Feedback and Control Systems Problem 6.53: Ramp Response</t>
  </si>
  <si>
    <t>Control systems | Step response | Transfer functions | Inverse Laplace transforms | Impulse response | Step function</t>
  </si>
  <si>
    <t>https://www.accessengineeringlibrary.com/content/video/V2928693108001</t>
  </si>
  <si>
    <t>Schaum's Feedback and Control Systems Problem 7.29: Transfer Function Example 2</t>
  </si>
  <si>
    <t>Control systems | Transfer functions | Block diagrams | Feedback control systems</t>
  </si>
  <si>
    <t>https://www.accessengineeringlibrary.com/content/video/V2928693109001</t>
  </si>
  <si>
    <t>Schaum's Feedback and Control Systems Problem 8.21: Mason's Gain Rule</t>
  </si>
  <si>
    <t>Control systems | Signal flow graphs | Loop gain | Transfer functions | Fluid flow control | Feedback loops</t>
  </si>
  <si>
    <t>Electrical engineering | Mechanical engineering | Mathematics | Chemical engineering | Civil engineering</t>
  </si>
  <si>
    <t>https://www.accessengineeringlibrary.com/content/video/V2928693110001</t>
  </si>
  <si>
    <t>Schaum's Feedback and Control Systems Problem 9.21: Sensitivity</t>
  </si>
  <si>
    <t>Control systems | Control system sensitivity | Closed loop transfer function | Derivatives | Feedback control systems</t>
  </si>
  <si>
    <t>https://www.accessengineeringlibrary.com/content/video/V2928693111001</t>
  </si>
  <si>
    <t>Schaum's Feedback and Control Systems Problem 10.16: Gain and Phase Margin</t>
  </si>
  <si>
    <t>Phase margin | Gain margin | Control systems | Loop gain | Magnitude phase plot | Tangent</t>
  </si>
  <si>
    <t>https://www.accessengineeringlibrary.com/content/video/V2928693112001</t>
  </si>
  <si>
    <t>Schaum's Feedback and Control Systems Problem 10.17: Phase Margin and Bandwidth</t>
  </si>
  <si>
    <t>Bandwidth | Phase margin | Control systems | System bandwidth | Loop gain | Magnitude phase plot</t>
  </si>
  <si>
    <t>https://www.accessengineeringlibrary.com/content/video/V2928693113001</t>
  </si>
  <si>
    <t>Schaum's Feedback and Control Systems Problem 11.73/11.75: Nyquist Stability Criterion</t>
  </si>
  <si>
    <t>https://www.accessengineeringlibrary.com/content/video/V2928693114001</t>
  </si>
  <si>
    <t>Schaum's Feedback and Control Systems Problem 12.17: Nyquist Design</t>
  </si>
  <si>
    <t>Control systems | Resonant peak | Tangent | Sine | Nyquist plots | Matlab</t>
  </si>
  <si>
    <t>https://www.accessengineeringlibrary.com/content/video/V2928693115001</t>
  </si>
  <si>
    <t>Schaum's Feedback and Control Systems Problem 13.43: S-Plane Example</t>
  </si>
  <si>
    <t>Control systems | Loop gain | Magnitude phase plot | Zeros of a transfer function | Poles of a transfer function | Angle measurement</t>
  </si>
  <si>
    <t>https://www.accessengineeringlibrary.com/content/video/V2928693116001</t>
  </si>
  <si>
    <t>Schaum's Feedback and Control Systems Problem 13.48: Root Locus Construction</t>
  </si>
  <si>
    <t>Control systems | Root locus method | Loop transfer function | Gain margin | Phase margin | Centers of mass</t>
  </si>
  <si>
    <t>Electrical engineering | Mechanical engineering | Sciences</t>
  </si>
  <si>
    <t>https://www.accessengineeringlibrary.com/content/video/V2928693117001</t>
  </si>
  <si>
    <t>Schaum's Feedback and Control Systems Problem 14.18: Root Locus Design Example 1</t>
  </si>
  <si>
    <t>Root locus method | Control systems | Dominant pole | Feedback control systems | Damping ratio | Step response</t>
  </si>
  <si>
    <t>https://www.accessengineeringlibrary.com/content/video/V2928693118001</t>
  </si>
  <si>
    <t>Schaum's Feedback and Control Systems Problem 14.19: Root Locus Design Example 2</t>
  </si>
  <si>
    <t>Control systems | Root locus method | Gain margin | Tangent | Magnitude phase plot | Transfer functions</t>
  </si>
  <si>
    <t>https://www.accessengineeringlibrary.com/content/video/V2928693119001</t>
  </si>
  <si>
    <t>Schaum's Feedback and Control Systems Problem 15.14: Bode Analysis</t>
  </si>
  <si>
    <t>Control systems | Bode plots | Phase margin | Gain margin | Magnitude phase plot | Phase measurement</t>
  </si>
  <si>
    <t>Electrical engineering | Mechanical engineering | Mathematics | Chemical engineering | Sciences</t>
  </si>
  <si>
    <t>https://www.accessengineeringlibrary.com/content/video/V2928693120001</t>
  </si>
  <si>
    <t>Schaum's Feedback and Control Systems Problem 6.12/6.13/6.14: Bode Design</t>
  </si>
  <si>
    <t>Control systems | Phase margin | Gain margin | Amplifiers | Magnitude phase plot | Bode plots</t>
  </si>
  <si>
    <t>https://www.accessengineeringlibrary.com/content/video/V2928693121001</t>
  </si>
  <si>
    <t>Schaum's Anatomy and Physiology Problem 1.13: What is negative feedback, and how is it used to help maintain homeostasis?</t>
  </si>
  <si>
    <t>Schaum's Outline of Human Anatomy and Physiology, Fourth Edition</t>
  </si>
  <si>
    <t>J. Copppinger</t>
  </si>
  <si>
    <t>Homeostasis | Human anatomy and physiology | Blood | Polymers</t>
  </si>
  <si>
    <t>Bioengineering | Sciences | Chemical engineering | Materials engineering</t>
  </si>
  <si>
    <t>https://www.accessengineeringlibrary.com/content/video/V2928693123001</t>
  </si>
  <si>
    <t>Schaum's Anatomy and Physiology Problem 2.17: Describe how biochemical compounds are formed and broken down.</t>
  </si>
  <si>
    <t>Human anatomy and physiology | Chemical reactions | Polymers | Hydrolysis | Water supply | Polysaccharides</t>
  </si>
  <si>
    <t>Bioengineering | Sciences | Chemical engineering | Materials engineering | Civil engineering | Energy engineering | Environmental engineering</t>
  </si>
  <si>
    <t>https://www.accessengineeringlibrary.com/content/video/V2928693124001</t>
  </si>
  <si>
    <t>Schaum's Anatomy and Physiology Problem 3.12: Describe the events in replication.</t>
  </si>
  <si>
    <t>Human anatomy and physiology | DNA</t>
  </si>
  <si>
    <t>https://www.accessengineeringlibrary.com/content/video/V2928693125001</t>
  </si>
  <si>
    <t>Schaum's Anatomy and Physiology Problem 3.13: Describe the events of transcription.</t>
  </si>
  <si>
    <t>Human anatomy and physiology | DNA | RNA | Polymer processing | Nucleic acids</t>
  </si>
  <si>
    <t>Bioengineering | Sciences | Chemical engineering | Materials engineering | Industrial engineering</t>
  </si>
  <si>
    <t>https://www.accessengineeringlibrary.com/content/video/V2928693126001</t>
  </si>
  <si>
    <t>Schaum's Anatomy and Physiology Problem 3.15: Describe the events of translation.</t>
  </si>
  <si>
    <t>Human anatomy and physiology | Proteins | Nucleic acids | RNA</t>
  </si>
  <si>
    <t>https://www.accessengineeringlibrary.com/content/video/V2928693127001</t>
  </si>
  <si>
    <t>Schaum's Anatomy and Physiology Problem 4.1 What are the bases for the classification of tissues?</t>
  </si>
  <si>
    <t>Human anatomy and physiology | Connective tissue | Muscles | Tendons | Ligaments | Intestinal tract</t>
  </si>
  <si>
    <t>https://www.accessengineeringlibrary.com/content/video/V2928693128001</t>
  </si>
  <si>
    <t>Schaum's Anatomy and Physiology Problem 4.3: Catalog the five kinds of simple epithelia as to structure, function, and location within the body.</t>
  </si>
  <si>
    <t>Human anatomy and physiology | Gases | Walls | Lungs | Female reproductive system | Capillaries</t>
  </si>
  <si>
    <t>https://www.accessengineeringlibrary.com/content/video/V2928693129001</t>
  </si>
  <si>
    <t>Schaum's Anatomy and Physiology Problem 4.23: How does the structure of a neuron reflect its function?</t>
  </si>
  <si>
    <t>Human anatomy and physiology</t>
  </si>
  <si>
    <t>https://www.accessengineeringlibrary.com/content/video/V2928693130001</t>
  </si>
  <si>
    <t>Schaum's Anatomy and Physiology Problem 5.4: List some defense mechanisms by which the skin helps to prevent infection.</t>
  </si>
  <si>
    <t>https://www.accessengineeringlibrary.com/content/video/V2928693131001</t>
  </si>
  <si>
    <t>Schaum's Anatomy and Physiology Problem 6.1: What is the composition of bones?</t>
  </si>
  <si>
    <t>Bone | Human anatomy and physiology | Proteins | Phosphates | Connective tissue | Salts</t>
  </si>
  <si>
    <t>Bioengineering | Sciences | Materials engineering | Chemical engineering</t>
  </si>
  <si>
    <t>https://www.accessengineeringlibrary.com/content/video/V2928693132001</t>
  </si>
  <si>
    <t>Schaum's Anatomy and Physiology Problem 9.10: What determines whether a stimulus will be strong enough to produce an action potential in a nerve cell?</t>
  </si>
  <si>
    <t>Cell physiology | Human anatomy and physiology | Permeability | Depolarization</t>
  </si>
  <si>
    <t>https://www.accessengineeringlibrary.com/content/video/V2928693133001</t>
  </si>
  <si>
    <t>Schaum's Anatomy and Physiology Problem 13.2: Distinguish between the classes of hormones based on the location of the cell membrane receptors on their target cells.</t>
  </si>
  <si>
    <t>Cell membranes | Cell physiology | Human anatomy and physiology | Solubility | Proteins</t>
  </si>
  <si>
    <t>https://www.accessengineeringlibrary.com/content/video/V2928693134001</t>
  </si>
  <si>
    <t>Schaum's Anatomy and Physiology Problem 13.4 Give a model for the negative feedback mechanism that often regulates the production or secretion of many hormones.</t>
  </si>
  <si>
    <t>Human anatomy and physiology | Salts</t>
  </si>
  <si>
    <t>https://www.accessengineeringlibrary.com/content/video/V2928693135001</t>
  </si>
  <si>
    <t>Schaum's Anatomy and Physiology Problem 13.5: Give an example of a positive feedback mechanism.</t>
  </si>
  <si>
    <t>Human anatomy and physiology | Female reproductive system | Cell walls | Cell signaling | Blood pressure</t>
  </si>
  <si>
    <t>https://www.accessengineeringlibrary.com/content/video/V2928693136001</t>
  </si>
  <si>
    <t>Schaum's Anatomy and Physiology Problem 14.10: Can hemoglobin bind other gas molecules besides oxygen?</t>
  </si>
  <si>
    <t>Gases | Oxygen | Carbon dioxide | Human anatomy and physiology | Proteins</t>
  </si>
  <si>
    <t>Sciences | Chemical engineering | Bioengineering</t>
  </si>
  <si>
    <t>https://www.accessengineeringlibrary.com/content/video/V2928693137001</t>
  </si>
  <si>
    <t>Schaum's Anatomy and Physiology Problem 17.13: What are the two ways in which immunity may be acquired by the body?</t>
  </si>
  <si>
    <t>Human anatomy and physiology | Cancer | Immune system | Proteins</t>
  </si>
  <si>
    <t>https://www.accessengineeringlibrary.com/content/video/V2928693138001</t>
  </si>
  <si>
    <t>Schaum's Anatomy and Physiology Problem 17.19: Describe the functions of the B and T lymphocytes.</t>
  </si>
  <si>
    <t>Human anatomy and physiology | Memory cells | Cancer | Proteins</t>
  </si>
  <si>
    <t>Bioengineering | Sciences | Computer engineering</t>
  </si>
  <si>
    <t>https://www.accessengineeringlibrary.com/content/video/V2928693139001</t>
  </si>
  <si>
    <t>Schaum's Anatomy and Physiology Problem 19.23: List the digestive enzymes secreted by the intestinal glands and describe their actions.</t>
  </si>
  <si>
    <t>Human anatomy and physiology | Nucleic acids | Polysaccharides | Hydrolysis | Proteins | Fatty acids</t>
  </si>
  <si>
    <t>https://www.accessengineeringlibrary.com/content/video/V2928693140001</t>
  </si>
  <si>
    <t>Schaum's Anatomy and Physiology Problem 20.2: What if oxygen is not present during glycolysis?</t>
  </si>
  <si>
    <t>Human anatomy and physiology | Fermentation | Protons | Electrons | Carbon</t>
  </si>
  <si>
    <t>Bioengineering | Sciences | Chemical engineering | Energy engineering | Environmental engineering</t>
  </si>
  <si>
    <t>https://www.accessengineeringlibrary.com/content/video/V2928693141001</t>
  </si>
  <si>
    <t>Schaum's Anatomy and Physiology Problem 21.21: How does ADH participate in regulating the final urine concentration?</t>
  </si>
  <si>
    <t>Human anatomy and physiology | Cell signaling</t>
  </si>
  <si>
    <t>https://www.accessengineeringlibrary.com/content/video/V2928693142001</t>
  </si>
  <si>
    <t>Schaum's Electric Circuits Problem 1.9: Work and Power Example</t>
  </si>
  <si>
    <t>Schaum's Outline of Electric Circuits, Seventh Edition</t>
  </si>
  <si>
    <t>Electric power | Circuits | Electricity | Mass | Watts | Sine</t>
  </si>
  <si>
    <t>Electrical engineering | Energy engineering | Mechanical engineering | Sciences | Mathematics</t>
  </si>
  <si>
    <t>https://www.accessengineeringlibrary.com/content/video/V2929037646001</t>
  </si>
  <si>
    <t>Schaum's Electric Circuits Problem 1.14: Energy Example</t>
  </si>
  <si>
    <t>Electric energy | Circuits | Electricity | Voltage | Watts | Voltage transfer</t>
  </si>
  <si>
    <t>https://www.accessengineeringlibrary.com/content/video/V2929037647001</t>
  </si>
  <si>
    <t>Schaum's Electric Circuits Problem 2.21: Voltage Example</t>
  </si>
  <si>
    <t>Circuits | Voltage | Electricity | Waveforms | Inductors | Capacitors</t>
  </si>
  <si>
    <t>https://www.accessengineeringlibrary.com/content/video/V2929037648001</t>
  </si>
  <si>
    <t>Schaum's Electric Circuits Problem 2.23: KVL Example</t>
  </si>
  <si>
    <t>Circuits | Electricity | Kirchhoff's voltage law | Voltage | Controlled sources | Watts</t>
  </si>
  <si>
    <t>https://www.accessengineeringlibrary.com/content/video/V2929037649001</t>
  </si>
  <si>
    <t>Schaum's Electric Circuits Problem 2.24: KCL Example</t>
  </si>
  <si>
    <t>Circuits | Kirchhoff's current law | Electricity | Controlled sources | Voltage | Watts</t>
  </si>
  <si>
    <t>https://www.accessengineeringlibrary.com/content/video/V2929037650001</t>
  </si>
  <si>
    <t>Schaum's Electric Circuits Problem 4.17/4.18: Mesh Current Method Example</t>
  </si>
  <si>
    <t>Circuits | Mesh analysis | Electric currents | Electricity | Voltage | Voltage drop</t>
  </si>
  <si>
    <t>https://www.accessengineeringlibrary.com/content/video/V2929037651001</t>
  </si>
  <si>
    <t>Schaum's Electric Circuits Problem 4.33: Thevenin and Norton equivalent</t>
  </si>
  <si>
    <t>Circuits | Thevenin's theorem | Electricity | Norton's theorem | Resistors | Maximum power transfer theorem</t>
  </si>
  <si>
    <t>https://www.accessengineeringlibrary.com/content/video/V2929037652001</t>
  </si>
  <si>
    <t>Schaum's Electric Circuits Problem 4.47: Superposition Example</t>
  </si>
  <si>
    <t>Circuits | Electricity | Superposition theorem | Voltage | Superposition | Kirchhoff's voltage law</t>
  </si>
  <si>
    <t>Electrical engineering | Sciences | Civil engineering | Mechanical engineering</t>
  </si>
  <si>
    <t>https://www.accessengineeringlibrary.com/content/video/V2929037653001</t>
  </si>
  <si>
    <t>Schaum's Electric Circuits Problem 4.52: Diode Example 1</t>
  </si>
  <si>
    <t>Circuits | Diodes | Electricity | Open circuit voltage | Bias voltage | Terminal voltage</t>
  </si>
  <si>
    <t>https://www.accessengineeringlibrary.com/content/video/V2929037654001</t>
  </si>
  <si>
    <t>Schaum's Electric Circuits Problem 4.53: Diode Example 2</t>
  </si>
  <si>
    <t>Circuits | Diodes | Electricity | Open circuit voltage | Voltage | Terminal voltage</t>
  </si>
  <si>
    <t>https://www.accessengineeringlibrary.com/content/video/V2929037655001</t>
  </si>
  <si>
    <t>Schaum's Electric Circuits Problem 4.54/4.55: Diode Example 3</t>
  </si>
  <si>
    <t>Circuits | Diodes | Electricity | Voltage | Resistors | Current sources</t>
  </si>
  <si>
    <t>https://www.accessengineeringlibrary.com/content/video/V2929037656001</t>
  </si>
  <si>
    <t>Schaum's Electric Circuits Problem 5.40: Op Amp Design Example 2</t>
  </si>
  <si>
    <t>https://www.accessengineeringlibrary.com/content/video/V2929037657001</t>
  </si>
  <si>
    <t>Schaum's Electric Circuits Problem 5.48: Op Amp Design Example 1</t>
  </si>
  <si>
    <t>https://www.accessengineeringlibrary.com/content/video/V2929037658001</t>
  </si>
  <si>
    <t>Schaum's Electric Circuits Problem 6.29: Average and Effective Values</t>
  </si>
  <si>
    <t>https://www.accessengineeringlibrary.com/content/video/V2929037659001</t>
  </si>
  <si>
    <t>Schaum's Electric Circuits Problem 6.32: Voltage and Current for an Inductor</t>
  </si>
  <si>
    <t>Inductors | Circuits | Voltage | Electric currents | Waveforms | Electricity</t>
  </si>
  <si>
    <t>https://www.accessengineeringlibrary.com/content/video/V2929037660001</t>
  </si>
  <si>
    <t>Schaum's Electric Circuits Problem 7.27: Transient response of an RC circuit</t>
  </si>
  <si>
    <t>RC circuits | Electricity | Transient response | Circuits | Resistors | Voltage</t>
  </si>
  <si>
    <t>Electrical engineering | Sciences | Civil engineering | Mathematics | Mechanical engineering</t>
  </si>
  <si>
    <t>https://www.accessengineeringlibrary.com/content/video/V2929037661001</t>
  </si>
  <si>
    <t>Schaum's Electric Circuits Problem 7.30: Transient response of an RL circuit</t>
  </si>
  <si>
    <t>RL circuits | Electricity | Transient response | Voltage | Resistors | Circuits</t>
  </si>
  <si>
    <t>https://www.accessengineeringlibrary.com/content/video/V2929037662001</t>
  </si>
  <si>
    <t>Schaum's Electric Circuits Problem 8.27: RLC Circuit example</t>
  </si>
  <si>
    <t>RLC circuits | Electricity | Circuits | Inductors | Capacitors | Voltage</t>
  </si>
  <si>
    <t>https://www.accessengineeringlibrary.com/content/video/V2929037663001</t>
  </si>
  <si>
    <t>Schaum's Electric Circuits Problem 8.34: Transfer Function Example</t>
  </si>
  <si>
    <t>Electricity | Circuits | Voltage transfer | Voltage output | RLC circuits | Zeros of a transfer function</t>
  </si>
  <si>
    <t>https://www.accessengineeringlibrary.com/content/video/V2929037664001</t>
  </si>
  <si>
    <t>Schaum's Electric Circuits Problem 9.42: Impedance Example</t>
  </si>
  <si>
    <t>Circuits | Electrical impedance | Impedance | Electricity | Voltage | Phasors</t>
  </si>
  <si>
    <t>Electrical engineering | Materials engineering | Sciences | Mathematics</t>
  </si>
  <si>
    <t>https://www.accessengineeringlibrary.com/content/video/V2929037665001</t>
  </si>
  <si>
    <t>Schaum's Electric Circuits Problem 9.59: Sinusoidal-Steady State Example</t>
  </si>
  <si>
    <t>Circuits | Electricity | Voltage | Electric currents | Inductors | Cosine</t>
  </si>
  <si>
    <t>Electrical engineering | Sciences | Mathematics</t>
  </si>
  <si>
    <t>https://www.accessengineeringlibrary.com/content/video/V2929037666001</t>
  </si>
  <si>
    <t>Schaum's Electric Circuits Problem 10.29: Complex Power Example</t>
  </si>
  <si>
    <t>Circuits | AC power | Electric power | Electricity | Triangles | Voltage</t>
  </si>
  <si>
    <t>https://www.accessengineeringlibrary.com/content/video/V2929037667001</t>
  </si>
  <si>
    <t>Schaum's Electric Circuits Problem 10.51: Average Power Example</t>
  </si>
  <si>
    <t>Electric power | Circuits | Electricity | Circuit analysis | Resistors | Cosine</t>
  </si>
  <si>
    <t>https://www.accessengineeringlibrary.com/content/video/V2929037668001</t>
  </si>
  <si>
    <t>Schaum's Electric Circuits Problem 11.41: Polyphase Circuits Example 1</t>
  </si>
  <si>
    <t>Circuits | Electricity | Apparent power | Reactive power | Power factor | Three phase power</t>
  </si>
  <si>
    <t>https://www.accessengineeringlibrary.com/content/video/V2929037669001</t>
  </si>
  <si>
    <t>Schaum's Electric Circuits Problem 11.42: Polyphase Circuits Example 2</t>
  </si>
  <si>
    <t>Circuits | Electricity | Three phase power | Line voltage | Impedance | Electrical load</t>
  </si>
  <si>
    <t>Electrical engineering | Sciences | Energy engineering | Mechanical engineering | Materials engineering</t>
  </si>
  <si>
    <t>https://www.accessengineeringlibrary.com/content/video/V2929037670001</t>
  </si>
  <si>
    <t>Schaum's Signals and Systems Supplementary Problem 2.46: Convolution Example</t>
  </si>
  <si>
    <t>Schaum's Outline of Signals and Systems, Third Edition|Schaum's Outline of Signals and Systems, Fourth Edition</t>
  </si>
  <si>
    <t>9780071829465|9781260454246</t>
  </si>
  <si>
    <t>Signals and systems | Convolution | Integrals | Amplitude | Continuous-time convolution | Triangles</t>
  </si>
  <si>
    <t>Electrical engineering | Mathematics | Mechanical engineering</t>
  </si>
  <si>
    <t>https://www.accessengineeringlibrary.com/content/video/V2929150798001</t>
  </si>
  <si>
    <t>Schaum's Signals and Systems Supplementary Problem 7.68: Asymptotically Stable System</t>
  </si>
  <si>
    <t>Signals and systems | State space representation | Eigenvalues | Linear time invariant systems</t>
  </si>
  <si>
    <t>https://www.accessengineeringlibrary.com/content/video/V2929150799001</t>
  </si>
  <si>
    <t>Schaum's Signals and Systems Supplementary Problem 1.46: Unit Step Functions Example</t>
  </si>
  <si>
    <t>Signals and systems | Step function | Amplitude | Ramp function | Analog signal processing</t>
  </si>
  <si>
    <t>https://www.accessengineeringlibrary.com/content/video/V2929150800001</t>
  </si>
  <si>
    <t>Schaum's Signals and Systems Supplementary Problem 1.56: System Properties Example 1</t>
  </si>
  <si>
    <t>Signals and systems | Linear time invariant systems | Time shift | Time invariant systems | Systems integration | Linear systems</t>
  </si>
  <si>
    <t>Electrical engineering | Mechanical engineering | Mathematics | Computer engineering | Computer science</t>
  </si>
  <si>
    <t>https://www.accessengineeringlibrary.com/content/video/V2929150801001</t>
  </si>
  <si>
    <t>Schaum's Signals and Systems Supplementary Problem 1.61: System Properties Example 2</t>
  </si>
  <si>
    <t>Signals and systems | Discrete time signal processing | Parabolas | Discrete time systems | Continuous time systems</t>
  </si>
  <si>
    <t>https://www.accessengineeringlibrary.com/content/video/V2929150802001</t>
  </si>
  <si>
    <t>Schaum's Signals and Systems Supplementary Problem 2.58: RLC Circuit Example</t>
  </si>
  <si>
    <t>Signals and systems | RLC circuits | Differential equations | Derivatives | Input voltage | Voltage</t>
  </si>
  <si>
    <t>Electrical engineering | Mathematics | Sciences</t>
  </si>
  <si>
    <t>https://www.accessengineeringlibrary.com/content/video/V2929150803001</t>
  </si>
  <si>
    <t>Schaum's Signals and Systems Supplementary Problem 2.64: Discrete-time system Example</t>
  </si>
  <si>
    <t>Signals and systems | Discrete time systems | Homogeneous equations</t>
  </si>
  <si>
    <t>https://www.accessengineeringlibrary.com/content/video/V2929150804001</t>
  </si>
  <si>
    <t>Schaum's Signals and Systems Supplementary Problem 3.43: Laplace Transforms</t>
  </si>
  <si>
    <t>Signals and systems | Laplace transform | Sine | Cosine | Integration by parts | Integrals</t>
  </si>
  <si>
    <t>https://www.accessengineeringlibrary.com/content/video/V2929150805001</t>
  </si>
  <si>
    <t>Schaum's Signals and Systems Supplementary Problem 3.49: Inverse Laplace Transforms</t>
  </si>
  <si>
    <t>Signals and systems | Inverse Laplace transforms | Sine | Cosine | Rational functions | Laplace transform</t>
  </si>
  <si>
    <t>https://www.accessengineeringlibrary.com/content/video/V2929150806001</t>
  </si>
  <si>
    <t>Schaum's Signals and Systems Supplementary Problem 3.55: Transfer Functions Example 1</t>
  </si>
  <si>
    <t>Signals and systems | Transfer functions | Frequency domains | Algebra</t>
  </si>
  <si>
    <t>https://www.accessengineeringlibrary.com/content/video/V2929150807001</t>
  </si>
  <si>
    <t>Schaum's Signals and Systems Supplementary Problem 4.48: z-Transforms</t>
  </si>
  <si>
    <t>Signals and systems | z Transform | Discrete time systems | Rational functions | Discrete time signal processing</t>
  </si>
  <si>
    <t>https://www.accessengineeringlibrary.com/content/video/V2929150808001</t>
  </si>
  <si>
    <t>Schaum's Signals and Systems Supplementary Problem 4.53/4.54: Inverse z-Transforms</t>
  </si>
  <si>
    <t>Signals and systems | z Transform | Discrete time signal processing | Rational functions | Power series</t>
  </si>
  <si>
    <t>https://www.accessengineeringlibrary.com/content/video/V2929150809001</t>
  </si>
  <si>
    <t>Schaum's Signals and Systems Supplementary Problem 4.56: Transfer Functions Example 2</t>
  </si>
  <si>
    <t>Signals and systems | z Transform | Recurrence relations | Frequency domains | Time domains | Discrete time systems</t>
  </si>
  <si>
    <t>Electrical engineering | Mechanical engineering | Mathematics | Computer science</t>
  </si>
  <si>
    <t>https://www.accessengineeringlibrary.com/content/video/V2929150810001</t>
  </si>
  <si>
    <t>Schaum's Signals and Systems Supplementary Problem 5.61: Fourier Series</t>
  </si>
  <si>
    <t>Signals and systems | Fourier series | Analog signal processing | Sine | Cosine | Integration by parts</t>
  </si>
  <si>
    <t>Electrical engineering | Mathematics</t>
  </si>
  <si>
    <t>https://www.accessengineeringlibrary.com/content/video/V2929150811001</t>
  </si>
  <si>
    <t>Schaum's Signals and Systems Supplementary Problem 5.67/5.69: Fourier Transforms</t>
  </si>
  <si>
    <t>Signals and systems | Fourier transform | Inverse Fourier transforms | Analog signal processing | Linear equations | Amplitude</t>
  </si>
  <si>
    <t>https://www.accessengineeringlibrary.com/content/video/V2929150812001</t>
  </si>
  <si>
    <t>Schaum's Signals and Systems Supplementary Problem 5.75: RC Filters</t>
  </si>
  <si>
    <t>Signals and systems | Electronic filters | Frequency response | Fourier transform | Frequency domains | Differential equations</t>
  </si>
  <si>
    <t>https://www.accessengineeringlibrary.com/content/video/V2929150813001</t>
  </si>
  <si>
    <t>Schaum's Signals and Systems Supplementary Problem 6.62: Discrete Fourier Series</t>
  </si>
  <si>
    <t>Signals and systems | Fourier series | Sine | Cosine | Sequences and series</t>
  </si>
  <si>
    <t>https://www.accessengineeringlibrary.com/content/video/V2929150814001</t>
  </si>
  <si>
    <t>Schaum's Signals and Systems Supplementary Problem 6.71: Frequency and Impulse Response of a Discrete-Time System</t>
  </si>
  <si>
    <t>Signals and systems | Frequency response | Impulse response | Discrete time systems | Linear time invariant systems | Fourier transform</t>
  </si>
  <si>
    <t>https://www.accessengineeringlibrary.com/content/video/V2929150815001</t>
  </si>
  <si>
    <t>Schaum's Signals and Systems Supplementary Problem 7.65: State Space Representation</t>
  </si>
  <si>
    <t>Signals and systems | State space representation | Voltage | Capacitors | Kirchhoff's voltage law | Inductors</t>
  </si>
  <si>
    <t>https://www.accessengineeringlibrary.com/content/video/V2929150816001</t>
  </si>
  <si>
    <t>Schaum's Signals and Systems Supplementary Problem 7.73: State Space Method</t>
  </si>
  <si>
    <t>Signals and systems | State space representation | Linear differential equations | State transition matrix | Inverse Laplace transforms | Integrals</t>
  </si>
  <si>
    <t>https://www.accessengineeringlibrary.com/content/video/V2929150817001</t>
  </si>
  <si>
    <t>Schaum's Thermodynamics Supplementary Problem 1-29: Calculating Pressure Differences</t>
  </si>
  <si>
    <t>Schaum's Outline of Thermodynamics for Engineers, Third Edition|Schaum's Outline of Thermodynamics for Engineers, Fourth Edition</t>
  </si>
  <si>
    <t>9780071830829|9781260456523</t>
  </si>
  <si>
    <t>Thom Adams</t>
  </si>
  <si>
    <t>Static pressure | Mercury | Specific weight | Pipes | Atmospheric pressure</t>
  </si>
  <si>
    <t>https://www.accessengineeringlibrary.com/content/video/V2939922910001</t>
  </si>
  <si>
    <t>Schaum's Thermodynamics Supplementary Problem 2-14: Finding Quality</t>
  </si>
  <si>
    <t>Thermodynamic properties | Steam tables | Specific volume | Intensive properties | Steam pressure | Mass fraction</t>
  </si>
  <si>
    <t>https://www.accessengineeringlibrary.com/content/video/V2939922911001</t>
  </si>
  <si>
    <t>Schaum's Thermodynamics Supplementary Problem 2-31: Equations of State</t>
  </si>
  <si>
    <t>Equations of state | Compressibility | Ideal gas law | Compressibility factor | Specific volume | Gases</t>
  </si>
  <si>
    <t>https://www.accessengineeringlibrary.com/content/video/V2939922912001</t>
  </si>
  <si>
    <t>Schaum's Thermodynamics Supplementary Problem 3-10: Compression Expansion Work Using the Steam Tables</t>
  </si>
  <si>
    <t>Steam tables | Thermodynamic work | Specific volume | Atmospheric pressure | Mass | Volume</t>
  </si>
  <si>
    <t>https://www.accessengineeringlibrary.com/content/video/V2939922913001</t>
  </si>
  <si>
    <t>Schaum's Thermodynamics Supplementary Problem 3-31: Conversion of Shaft Power to Electrical Power</t>
  </si>
  <si>
    <t>Electric power | Shafts | Power supplies | Energy conversion systems | Watts | Paddle wheels</t>
  </si>
  <si>
    <t>https://www.accessengineeringlibrary.com/content/video/V2939922914001</t>
  </si>
  <si>
    <t>Schaum's Thermodynamics Supplementary Problem 4-42: Compression Expansion Work Using the Steam Tables</t>
  </si>
  <si>
    <t>Steam tables | Thermodynamic work | Specific volume | Volume | Internal energy | Steam pressure</t>
  </si>
  <si>
    <t>https://www.accessengineeringlibrary.com/content/video/V2939922915001</t>
  </si>
  <si>
    <t>Schaum's Thermodynamics Supplementary Problem 4-105: Ideal Gas Flow through a Diffuser</t>
  </si>
  <si>
    <t>Ideal gas law | Ideal flow | Nitrogen | Conservation of energy | Mass flux | Fluid density</t>
  </si>
  <si>
    <t>https://www.accessengineeringlibrary.com/content/video/V2939922916001</t>
  </si>
  <si>
    <t>Schaum's Thermodynamics Supplementary Problem 5-22: Carnot Engine with Air</t>
  </si>
  <si>
    <t>Carnot cycle | Thermodynamic efficiency | Output efficiency | Absolute temperature | Mass | Ideal gas law</t>
  </si>
  <si>
    <t>Chemical engineering | Mechanical engineering | Sciences | Electrical engineering | Energy engineering</t>
  </si>
  <si>
    <t>https://www.accessengineeringlibrary.com/content/video/V2939922917001</t>
  </si>
  <si>
    <t>Schaum's Thermodynamics Supplementary Problem 5-29: Carnot Refrigerator</t>
  </si>
  <si>
    <t>Temperature coefficients | Horsepower | Temperature | Refrigeration | Heat pumps | Absolute temperature</t>
  </si>
  <si>
    <t>Materials engineering | Electrical engineering | Energy engineering | Mechanical engineering | Chemical engineering | Sciences</t>
  </si>
  <si>
    <t>https://www.accessengineeringlibrary.com/content/video/V2939922918001</t>
  </si>
  <si>
    <t>Schaum's Thermodynamics Supplementary Problem 6-33: Entropy Change of an Ideal Gas</t>
  </si>
  <si>
    <t>Entropy | Ideal gas law | Gas expansion | Internal energy | Conservation of energy | Energy engineering</t>
  </si>
  <si>
    <t>Chemical engineering | Mechanical engineering | Sciences | Aerospace engineering | Civil engineering | Energy engineering</t>
  </si>
  <si>
    <t>https://www.accessengineeringlibrary.com/content/video/V2939922919001</t>
  </si>
  <si>
    <t>Schaum's Thermodynamics Supplementary Problem 6-56: Total Entropy Change for Steam</t>
  </si>
  <si>
    <t>Entropy | Specific volume | Heat transfer | Superheated steam | Volume | Internal energy</t>
  </si>
  <si>
    <t>https://www.accessengineeringlibrary.com/content/video/V2939922920001</t>
  </si>
  <si>
    <t>Schaum's Thermodynamics Supplementary Problem 7-8: Adiabatic Efficiency of a Steam Turbine.</t>
  </si>
  <si>
    <t>Thermodynamic efficiency | Steam turbines | Turbines | Mass | Flow rate | Entropy</t>
  </si>
  <si>
    <t>Sciences | Chemical engineering | Civil engineering | Mechanical engineering | Electrical engineering | Energy engineering</t>
  </si>
  <si>
    <t>https://www.accessengineeringlibrary.com/content/video/V2939922921001</t>
  </si>
  <si>
    <t>Schaum's Thermodynamics Supplementary Problem 7-23: Irreversibility for a Throttling Process</t>
  </si>
  <si>
    <t>Mass | Enthalpy | Exergy | Valves | Steam pressure | Conservation of energy</t>
  </si>
  <si>
    <t>https://www.accessengineeringlibrary.com/content/video/V2939922922001</t>
  </si>
  <si>
    <t>Schaum's Thermodynamics Supplementary Problem 8-21: Polytropic Air Compressor</t>
  </si>
  <si>
    <t>Air compressors | Compressors | Heat transfer | Conservation of energy | Adiabatic processes | Ideal gas law</t>
  </si>
  <si>
    <t>https://www.accessengineeringlibrary.com/content/video/V2939922924001</t>
  </si>
  <si>
    <t>Schaum's Thermodynamics Supplementary Problem 9-21: Ideal Rankine Cycle with Reheat</t>
  </si>
  <si>
    <t>Reheat cycle | Rankine cycle | Heat engines | Turbines | Pumps | Boilers</t>
  </si>
  <si>
    <t>Chemical engineering | Mechanical engineering | Sciences | Civil engineering | Electrical engineering | Energy engineering</t>
  </si>
  <si>
    <t>https://www.accessengineeringlibrary.com/content/video/V2939922925001</t>
  </si>
  <si>
    <t>Schaum's Thermodynamics Supplementary Problem 10-17: Refrigeration Cycle using R134a</t>
  </si>
  <si>
    <t>Refrigeration | Compressors | Evaporators | Conservation of energy | Ts diagrams | Throttling devices</t>
  </si>
  <si>
    <t>Mechanical engineering | Chemical engineering | Civil engineering | Electrical engineering | Energy engineering | Sciences</t>
  </si>
  <si>
    <t>https://www.accessengineeringlibrary.com/content/video/V2939922926001</t>
  </si>
  <si>
    <t>Schaum's Thermodynamics Supplementary Problem 11-19: Derivation of a Maxwell Relation</t>
  </si>
  <si>
    <t>Maxwell relations | Partial derivatives | Volume | Entropy</t>
  </si>
  <si>
    <t>https://www.accessengineeringlibrary.com/content/video/V2939922927001</t>
  </si>
  <si>
    <t>Schaum's Thermodynamics Supplementary Problem 12-16: Mass Fractions for an Ideal Gas Mixture</t>
  </si>
  <si>
    <t>Mass fraction | Ideal gas law | Gas mixtures | Nitrogen | Molar mass | Mass</t>
  </si>
  <si>
    <t>https://www.accessengineeringlibrary.com/content/video/V2939922928001</t>
  </si>
  <si>
    <t>Schaum's Thermodynamics Supplementary Problem 12-45: Condensation on a Pair of Eyeglasses</t>
  </si>
  <si>
    <t>Condensation | Relative humidity | Dew point | Water vapor | Vapor pressure | Total pressure</t>
  </si>
  <si>
    <t>https://www.accessengineeringlibrary.com/content/video/V2939922929001</t>
  </si>
  <si>
    <t>Schaum's Thermodynamics Supplementary Problem 13-18: Combustion of Ethane</t>
  </si>
  <si>
    <t>Ethane | Combustion | Dew point | Fuels | Nitrogen | Chemical reactions</t>
  </si>
  <si>
    <t>Chemical engineering | Sciences | Energy engineering | Mechanical engineering</t>
  </si>
  <si>
    <t>https://www.accessengineeringlibrary.com/content/video/V2939922930001</t>
  </si>
  <si>
    <t>Schaum's Fluid Mechanics and Hydraulics Problem 1-28: Shear Stress, Force, and Viscosity</t>
  </si>
  <si>
    <t>Schaum's Outline of Fluid Mechanics and Hydraulics, Fourth Edition</t>
  </si>
  <si>
    <t>Shear stress | Shear force | Hydraulics | Fluid mechanics | Viscosity | Viscous fluids</t>
  </si>
  <si>
    <t>Civil engineering | Mechanical engineering | Sciences | Chemical engineering</t>
  </si>
  <si>
    <t>https://www.accessengineeringlibrary.com/content/video/V2940556026001</t>
  </si>
  <si>
    <t>Schaum's Fluid Mechanics and Hydraulics Problem 1-29: Surface Tension</t>
  </si>
  <si>
    <t>Surface tension | Hydraulics | Fluid mechanics | Volume | Free surface flow | Density</t>
  </si>
  <si>
    <t>Chemical engineering | Civil engineering | Mechanical engineering | Sciences | Materials engineering</t>
  </si>
  <si>
    <t>https://www.accessengineeringlibrary.com/content/video/V2940556027001</t>
  </si>
  <si>
    <t>Schaum's Fluid Mechanics and Hydraulics Problem 2-29: Pressure Measurement</t>
  </si>
  <si>
    <t>Hydraulics | Fluid mechanics | Pressure measurement | Gauge pressure | Manometers | Hydrostatic pressure</t>
  </si>
  <si>
    <t>https://www.accessengineeringlibrary.com/content/video/V2940556028001</t>
  </si>
  <si>
    <t>Schaum's Fluid Mechanics and Hydraulics Problem 2-38: Weight of a Piston</t>
  </si>
  <si>
    <t>Hydraulics | Fluid mechanics | Fluid statics | Gauge pressure | Specific weight | Total pressure</t>
  </si>
  <si>
    <t>Chemical engineering | Civil engineering | Mechanical engineering | Aerospace engineering | Sciences</t>
  </si>
  <si>
    <t>https://www.accessengineeringlibrary.com/content/video/V2940556029001</t>
  </si>
  <si>
    <t>Schaum's Fluid Mechanics and Hydraulics Problem 3-24: Resultant Force on a Dam</t>
  </si>
  <si>
    <t>Hydraulics | Fluid mechanics | Dams | Centers of mass | Sine | Free surface flow</t>
  </si>
  <si>
    <t>Chemical engineering | Civil engineering | Mechanical engineering | Sciences | Mathematics</t>
  </si>
  <si>
    <t>https://www.accessengineeringlibrary.com/content/video/V2940556030001</t>
  </si>
  <si>
    <t>Schaum's Fluid Mechanics and Hydraulics Problem 3-40: Resultant Force Versus Weight</t>
  </si>
  <si>
    <t>Hydraulics | Fluid mechanics | Atmospheric pressure | Water tanks | Hydrostatic pressure | Fluid density</t>
  </si>
  <si>
    <t>https://www.accessengineeringlibrary.com/content/video/V2940556031001</t>
  </si>
  <si>
    <t>Schaum's Fluid Mechanics and Hydraulics Problem 4-20: Buoyant Cylinder</t>
  </si>
  <si>
    <t>Buoyancy | Hydraulics | Fluid mechanics | Volume | Specific weight | Algebra</t>
  </si>
  <si>
    <t>Chemical engineering | Sciences | Civil engineering | Mechanical engineering | Mathematics</t>
  </si>
  <si>
    <t>https://www.accessengineeringlibrary.com/content/video/V2940556032001</t>
  </si>
  <si>
    <t>Schaum's Fluid Mechanics and Hydraulics Problem 4-35: Stability of a Boat Hull</t>
  </si>
  <si>
    <t>Hydraulics | Fluid mechanics | Buoyancy | Centers of gravity | Volume | Centers of mass</t>
  </si>
  <si>
    <t>https://www.accessengineeringlibrary.com/content/video/V2940556033001</t>
  </si>
  <si>
    <t>Schaum's Fluid Mechanics and Hydraulics Problem 5-16: Uniformly Accelerated Fluid</t>
  </si>
  <si>
    <t>Hydraulics | Fluid mechanics | Spills | Atmospheric pressure | Acceleration | Hydrostatic pressure</t>
  </si>
  <si>
    <t>Chemical engineering | Civil engineering | Mechanical engineering | Industrial engineering | Sciences</t>
  </si>
  <si>
    <t>https://www.accessengineeringlibrary.com/content/video/V2940556034001</t>
  </si>
  <si>
    <t>Schaum's Fluid Mechanics and Hydraulics Problem 6-40: Dimensional Analysis for a Simple Pendulum</t>
  </si>
  <si>
    <t>Dimensional analysis | Hydraulics | Fluid mechanics | Mass | Exponents | Acceleration</t>
  </si>
  <si>
    <t>Mathematics | Chemical engineering | Civil engineering | Mechanical engineering | Sciences</t>
  </si>
  <si>
    <t>https://www.accessengineeringlibrary.com/content/video/V2940556035001</t>
  </si>
  <si>
    <t>Schaum's Fluid Mechanics and Hydraulics Problem 7-56: Gas Flow Through a Conduit</t>
  </si>
  <si>
    <t>Fluid mechanics | Hydraulics | Gases | Gas flow rate | Fluid density | Flow velocity</t>
  </si>
  <si>
    <t>https://www.accessengineeringlibrary.com/content/video/V2940556036001</t>
  </si>
  <si>
    <t>Schaum's Fluid Mechanics and Hydraulics Problem 7-71: Water Flow Through a Variable Area Conduit</t>
  </si>
  <si>
    <t>Hydraulics | Fluid mechanics | Energy equation | Conservation of mass | Velocity | Pressure drop</t>
  </si>
  <si>
    <t>https://www.accessengineeringlibrary.com/content/video/V2940556037001</t>
  </si>
  <si>
    <t>Schaum's Fluid Mechanics and Hydraulics Problem 8-50: Oil Flow Between Two tanks</t>
  </si>
  <si>
    <t>Hydraulics | Fluid mechanics | Friction factors | Pressure drop | Flow rate | Reynolds number</t>
  </si>
  <si>
    <t>https://www.accessengineeringlibrary.com/content/video/V2940556038001</t>
  </si>
  <si>
    <t>Schaum's Fluid Mechanics and Hydraulics Problem 11-9: Compressible Flow of Air in a Constant Area Conduit</t>
  </si>
  <si>
    <t>Hydraulics | Fluid mechanics | Compressible flow | Pressure drop | Pipes | Friction factors</t>
  </si>
  <si>
    <t>https://www.accessengineeringlibrary.com/content/video/V2940556040001</t>
  </si>
  <si>
    <t>Schaum's Fluid Mechanics and Hydraulics Problem 11-12: Compressible Flow Through a Nozzle</t>
  </si>
  <si>
    <t>Hydraulics | Fluid mechanics | Compressible flow | Flow rate | Reynolds number | Friction factors</t>
  </si>
  <si>
    <t>https://www.accessengineeringlibrary.com/content/video/V2940556041001</t>
  </si>
  <si>
    <t>Schaum's Fluid Mechanics and Hydraulics Problem 12-52: Velocity Measurement via a Pitot Static Tube</t>
  </si>
  <si>
    <t>Hydraulics | Fluid mechanics | Pitot tubes | Flow velocity | Pressure measurement | Atmospheric pressure</t>
  </si>
  <si>
    <t>https://www.accessengineeringlibrary.com/content/video/V2940556042001</t>
  </si>
  <si>
    <t>Schaum's Fluid Mechanics and Hydraulics Problem 13-64: Oil Jet on a Flat Plate</t>
  </si>
  <si>
    <t>Hydraulics | Fluid mechanics | Momentum | Force | Mercury | Pipes</t>
  </si>
  <si>
    <t>https://www.accessengineeringlibrary.com/content/video/V2940556043001</t>
  </si>
  <si>
    <t>Schaum's Fluid Mechanics and Hydraulics Problem 13-81: Lift and Drag on a Flate Plate</t>
  </si>
  <si>
    <t>Hydraulics | Fluid mechanics | Drag | Fluid specific gravity | Flow velocity | Flow rate</t>
  </si>
  <si>
    <t>https://www.accessengineeringlibrary.com/content/video/V2940556044001</t>
  </si>
  <si>
    <t>Schaum's Fluid Mechanics and Hydraulics Problem 14-33: Variable Operating Conditions for a Turbine</t>
  </si>
  <si>
    <t>Hydraulics | Fluid mechanics | Turbines | Dimensional analysis | Drag coefficients | Angle of attack</t>
  </si>
  <si>
    <t>Chemical engineering | Civil engineering | Mechanical engineering | Electrical engineering | Energy engineering | Mathematics | Aerospace engineering</t>
  </si>
  <si>
    <t>https://www.accessengineeringlibrary.com/content/video/V2940556045001</t>
  </si>
  <si>
    <t>Schaum's Fluid Mechanics and Hydraulics Problem 9-30: Water Flow Between Two Tanks</t>
  </si>
  <si>
    <t>Water tanks | Hydraulics | Fluid mechanics | Water supply | Piping systems | Pipe flow</t>
  </si>
  <si>
    <t>Civil engineering | Chemical engineering | Mechanical engineering | Energy engineering | Environmental engineering | Sciences</t>
  </si>
  <si>
    <t>https://www.accessengineeringlibrary.com/content/video/V2942794483001</t>
  </si>
  <si>
    <t>Schaum's Electromagnetics Supplementary Problem 2-21: Vector Multiplication</t>
  </si>
  <si>
    <t>Schaum's Outline of Electromagnetics, Fifth Edition|Schaum's Outline of Electromagnetics, 4th Edition</t>
  </si>
  <si>
    <t>9781260120974|9780071831475</t>
  </si>
  <si>
    <t>Electromagnetics | Vector multiplication | Cross product | Dot product | Unit vectors</t>
  </si>
  <si>
    <t>Sciences | Mathematics</t>
  </si>
  <si>
    <t>https://www.accessengineeringlibrary.com/content/video/V2949872175001</t>
  </si>
  <si>
    <t>Schaum's Electromagnetics Supplementary Problem 2-27: Vector Analysis</t>
  </si>
  <si>
    <t>Electromagnetics | Vector analysis | Unit vectors | Dot product</t>
  </si>
  <si>
    <t>https://www.accessengineeringlibrary.com/content/video/V2949872176001</t>
  </si>
  <si>
    <t>Schaum's Electromagnetics Supplementary Problem 3-28: Electric Forces</t>
  </si>
  <si>
    <t>Electromagnetics | Electricity | Unit vectors | Electric charge</t>
  </si>
  <si>
    <t>https://www.accessengineeringlibrary.com/content/video/V2949872177001</t>
  </si>
  <si>
    <t>Schaum's Electromagnetics Supplementary Problem 4-31: Electric Flux Density</t>
  </si>
  <si>
    <t>Electromagnetics | Electric flux | Boundary conditions | Spherical surfaces | Surface integrals | Cosine</t>
  </si>
  <si>
    <t>Sciences | Materials engineering | Mathematics | Mechanical engineering</t>
  </si>
  <si>
    <t>https://www.accessengineeringlibrary.com/content/video/V2949872178001</t>
  </si>
  <si>
    <t>Schaum's Electromagnetics Supplementary Problem 5-29: Divergence</t>
  </si>
  <si>
    <t>Electromagnetics | Partial derivatives | Unit vectors</t>
  </si>
  <si>
    <t>https://www.accessengineeringlibrary.com/content/video/V2949872179001</t>
  </si>
  <si>
    <t>Schaum's Electromagnetics Supplementary Problem 5-51: Curl of a Vector</t>
  </si>
  <si>
    <t>Electromagnetics | Unit vectors | Vectors | Sine</t>
  </si>
  <si>
    <t>https://www.accessengineeringlibrary.com/content/video/V2949872180001</t>
  </si>
  <si>
    <t>Schaum's Electromagnetics Supplementary Problem 6-27: Electric Potential</t>
  </si>
  <si>
    <t>Electromagnetics | Electric potential</t>
  </si>
  <si>
    <t>https://www.accessengineeringlibrary.com/content/video/V2949872181001</t>
  </si>
  <si>
    <t>Schaum's Electromagnetics Supplementary Problem 7-32: Conductivity</t>
  </si>
  <si>
    <t>Electromagnetics | Conductivity</t>
  </si>
  <si>
    <t>https://www.accessengineeringlibrary.com/content/video/V2949872182001</t>
  </si>
  <si>
    <t>Schaum's Electromagnetics Supplementary Problem 7-41: Current Density</t>
  </si>
  <si>
    <t>Electromagnetics | Current density | Electric conductors</t>
  </si>
  <si>
    <t>https://www.accessengineeringlibrary.com/content/video/V2949872183001</t>
  </si>
  <si>
    <t>Schaum's Electromagnetics Supplementary Problem 8-30: Dielectric in Capacitor</t>
  </si>
  <si>
    <t>Electromagnetics | Capacitors | Dielectric constant | Capacitance | Acceptable separation distance</t>
  </si>
  <si>
    <t>Sciences | Electrical engineering | Materials engineering | Civil engineering | Environmental engineering</t>
  </si>
  <si>
    <t>https://www.accessengineeringlibrary.com/content/video/V2949872184001</t>
  </si>
  <si>
    <t>Schaum's Electromagnetics Supplementary Problem 8-44: Parameters in Parallel-plate Capacitor</t>
  </si>
  <si>
    <t>Electromagnetics | Capacitors | Acceptable separation distance | Current density | Permittivity | Voltage</t>
  </si>
  <si>
    <t>Sciences | Electrical engineering | Civil engineering | Environmental engineering</t>
  </si>
  <si>
    <t>https://www.accessengineeringlibrary.com/content/video/V2949872185001</t>
  </si>
  <si>
    <t>Schaum's Electromagnetics Supplementary Problem 9-21: Electric Field and Potential</t>
  </si>
  <si>
    <t>Electromagnetics | Electric fields | Electric potential | Partial derivatives | Electric power | Electric field gradient</t>
  </si>
  <si>
    <t>Sciences | Mathematics | Electrical engineering | Energy engineering | Mechanical engineering</t>
  </si>
  <si>
    <t>https://www.accessengineeringlibrary.com/content/video/V2949872186001</t>
  </si>
  <si>
    <t>Schaum's Electromagnetics Supplementary Problem 9-23: Electric Potential in Cylindrical Co-ordinates</t>
  </si>
  <si>
    <t>Electromagnetics | Electric potential | Boundary conditions</t>
  </si>
  <si>
    <t>Sciences | Mathematics | Mechanical engineering</t>
  </si>
  <si>
    <t>https://www.accessengineeringlibrary.com/content/video/V2949872187001</t>
  </si>
  <si>
    <t>Schaum's Electromagnetics Supplementary Problem 10-26: Magnetic Field due to Current Flow</t>
  </si>
  <si>
    <t>Electromagnetics | Magnetic field strength | Unit vectors | Magnetic fields</t>
  </si>
  <si>
    <t>https://www.accessengineeringlibrary.com/content/video/V2949872188001</t>
  </si>
  <si>
    <t>Schaum's Electromagnetics Supplementary Problem 10-28: Magnetic Field and Current Density</t>
  </si>
  <si>
    <t>Electromagnetics | Current density | Magnetic field strength | Electric currents | Algebra | Electric conductors</t>
  </si>
  <si>
    <t>Sciences | Mathematics | Electrical engineering</t>
  </si>
  <si>
    <t>https://www.accessengineeringlibrary.com/content/video/V2949872189001</t>
  </si>
  <si>
    <t>Schaum's Electromagnetics Supplementary Problem 11-19: Force on a Conductor in a Magnetic Field</t>
  </si>
  <si>
    <t>Electromagnetics | Electric conductors | Magnetic fields</t>
  </si>
  <si>
    <t>https://www.accessengineeringlibrary.com/content/video/V2949872190001</t>
  </si>
  <si>
    <t>Schaum's Electromagnetics Supplementary Problem 12-21: Inductance</t>
  </si>
  <si>
    <t>Electromagnetics | Inductance | Electric conductors | Coaxial cable | Magnetic fields | Linkages</t>
  </si>
  <si>
    <t>https://www.accessengineeringlibrary.com/content/video/V2949872191001</t>
  </si>
  <si>
    <t>Schaum's Electromagnetics Supplementary Problem 12-27: Mutual Inductance</t>
  </si>
  <si>
    <t>Electromagnetics | Mutual inductance | Permeability | Magnetic fields | Magnetic field strength | Electric power systems</t>
  </si>
  <si>
    <t>Sciences | Materials engineering | Electrical engineering | Energy engineering | Mechanical engineering</t>
  </si>
  <si>
    <t>https://www.accessengineeringlibrary.com/content/video/V2949872192001</t>
  </si>
  <si>
    <t>Schaum's Electromagnetics Supplementary Problem 13-22: Current Density</t>
  </si>
  <si>
    <t>Electromagnetics | Current density | Electric conductors | Electric fields | Conductivity | Sine</t>
  </si>
  <si>
    <t>Sciences | Electrical engineering | Materials engineering | Mathematics</t>
  </si>
  <si>
    <t>https://www.accessengineeringlibrary.com/content/video/V2949872193001</t>
  </si>
  <si>
    <t>Schaum's Electromagnetics Supplementary Problem 14-20: Electromagnetic Waves</t>
  </si>
  <si>
    <t>Electromagnetics | Electromagnetic waves | Electricity | Electric fields | Unit vectors | Speed of light</t>
  </si>
  <si>
    <t>Sciences | Electrical engineering | Mathematics</t>
  </si>
  <si>
    <t>https://www.accessengineeringlibrary.com/content/video/V2949872194001</t>
  </si>
  <si>
    <t>Schaum's Electromagnetics Supplementary Problem 14-23: Electromagnetic Waves</t>
  </si>
  <si>
    <t>Electromagnetics | Electromagnetic waves | Electric fields | Sine | Electricity</t>
  </si>
  <si>
    <t>https://www.accessengineeringlibrary.com/content/video/V2949872195001</t>
  </si>
  <si>
    <t>Schaum's Electromagnetics Supplementary Problem 15-26: Parameters of a Conductor</t>
  </si>
  <si>
    <t>Electromagnetics | Electric conductors | Inductance | Capacitance | Electric conduction | Permittivity</t>
  </si>
  <si>
    <t>Sciences | Electrical engineering | Materials engineering</t>
  </si>
  <si>
    <t>https://www.accessengineeringlibrary.com/content/video/V2949872196001</t>
  </si>
  <si>
    <t>Schaum's Electromagnetics Supplementary Problem 16-42: Rectangular Waveguide</t>
  </si>
  <si>
    <t>Electromagnetics | Waveguides | Cutoff frequency | Wavelengths | Phase velocity | Impedance</t>
  </si>
  <si>
    <t>Sciences | Electrical engineering | Energy engineering | Mechanical engineering | Civil engineering | Materials engineering</t>
  </si>
  <si>
    <t>https://www.accessengineeringlibrary.com/content/video/V2949872197001</t>
  </si>
  <si>
    <t>Schaum's Electromagnetics Supplementary Problem 17-28: Far-zone Magnetic Field</t>
  </si>
  <si>
    <t>Electromagnetics | Magnetic fields | Radiation | Wavelengths | Electromagnetic radiation | Antennas</t>
  </si>
  <si>
    <t>Sciences | Civil engineering | Mechanical engineering | Electrical engineering</t>
  </si>
  <si>
    <t>https://www.accessengineeringlibrary.com/content/video/V2949872198001</t>
  </si>
  <si>
    <t>Analog Filter and Circuit Design Handbook: Chapter 13 - Nonideal Operational Amplifiers</t>
  </si>
  <si>
    <t>Analog Filter and Circuit Design Handbook</t>
  </si>
  <si>
    <t>Circuit design | Analog filters | Operational amplifiers | Bias current | Terminal voltage | Kirchhoff's current law</t>
  </si>
  <si>
    <t>https://www.accessengineeringlibrary.com/content/video/V3128267242001</t>
  </si>
  <si>
    <t>Analog Filter and Circuit Design Handbook: Chapter 13 - Slew-Rate Limiting on Operational Amplifiers</t>
  </si>
  <si>
    <t>Circuit design | Analog filters | Operational amplifiers | Sine | Step function | Inverting amplifiers</t>
  </si>
  <si>
    <t>https://www.accessengineeringlibrary.com/content/video/V3128349457001</t>
  </si>
  <si>
    <t>Analog Filter and Circuit Design Handbook: Chapter 14 - Converters</t>
  </si>
  <si>
    <t>Circuit design | Analog filters | Voltage conversion | Voltage output | Kirchhoff's current law | Operational amplifiers</t>
  </si>
  <si>
    <t>https://www.accessengineeringlibrary.com/content/video/V3128349458001</t>
  </si>
  <si>
    <t>Analog Filter and Circuit Design Handbook: Chapter 14 - The Instrumentation Amplifier</t>
  </si>
  <si>
    <t>Instrumentation amplifiers | Circuit design | Analog filters | Terminal voltage | Kirchhoff's current law | Voltage output</t>
  </si>
  <si>
    <t>https://www.accessengineeringlibrary.com/content/video/V3128349459001</t>
  </si>
  <si>
    <t>Analog Filter and Circuit Design Handbook: Chapter 15 - Full-Wave Precision Rectifier</t>
  </si>
  <si>
    <t>Circuit design | Analog filters | Rectifiers | Operational amplifiers | Kirchhoff's current law | Short circuits</t>
  </si>
  <si>
    <t>https://www.accessengineeringlibrary.com/content/video/V3128349460001</t>
  </si>
  <si>
    <t>Analog Filter and Circuit Design Handbook: Chapter 15 - Half-Wave Precision Rectifier</t>
  </si>
  <si>
    <t>Circuit design | Analog filters | Rectifiers | Diodes | Circuit analysis | Sine</t>
  </si>
  <si>
    <t>Electrical engineering | Energy engineering | Mechanical engineering | Mathematics</t>
  </si>
  <si>
    <t>https://www.accessengineeringlibrary.com/content/video/V3128349461001</t>
  </si>
  <si>
    <t>Analog Filter and Circuit Design Handbook: Chapter 16 - Basic Comparator and Window Comparator</t>
  </si>
  <si>
    <t>Comparators | Circuit design | Analog filters | Voltage | Operational amplifiers | Sine</t>
  </si>
  <si>
    <t>https://www.accessengineeringlibrary.com/content/video/V3128349462001</t>
  </si>
  <si>
    <t>Analog Filter and Circuit Design Handbook: Chapter 16 - The Differentiator</t>
  </si>
  <si>
    <t>Circuit design | Analog filters | Resistors | Operational amplifiers | Derivatives | Capacitors</t>
  </si>
  <si>
    <t>https://www.accessengineeringlibrary.com/content/video/V3128349463001</t>
  </si>
  <si>
    <t>Analog Filter and Circuit Design Handbook: Chapter 16 - The Integrator</t>
  </si>
  <si>
    <t>Circuit design | Analog filters | Analog integrator | Integrated circuits | Resistors | Capacitors</t>
  </si>
  <si>
    <t>https://www.accessengineeringlibrary.com/content/video/V3128349464001</t>
  </si>
  <si>
    <t>Analog Filter and Circuit Design Handbook: Chapter 17 - Phase Shift Oscillators</t>
  </si>
  <si>
    <t>Circuit design | Analog filters | Sine | Resistors | Closed loop transfer function | Waveforms</t>
  </si>
  <si>
    <t>Electrical engineering | Mathematics | Mechanical engineering | Sciences</t>
  </si>
  <si>
    <t>https://www.accessengineeringlibrary.com/content/video/V3128349465001</t>
  </si>
  <si>
    <t>Analog Filter and Circuit Design Handbook: Chapter 17 - Square Wave Relaxation Oscillator</t>
  </si>
  <si>
    <t>Circuit design | Analog filters | Relaxation oscillators | Capacitors | Terminal voltage | Resistors</t>
  </si>
  <si>
    <t>https://www.accessengineeringlibrary.com/content/video/V3128349466001</t>
  </si>
  <si>
    <t>Analog Filter and Circuit Design Handbook: Chapter 17 - Triangular Wave Relaxation Oscillator</t>
  </si>
  <si>
    <t>Circuit design | Analog filters | Relaxation oscillators | Voltage | Capacitors | Triangles</t>
  </si>
  <si>
    <t>https://www.accessengineeringlibrary.com/content/video/V3128349467001</t>
  </si>
  <si>
    <t>Analog Filter and Circuit Design Handbook: Chapter 17 - The Wien Bridge Oscillator</t>
  </si>
  <si>
    <t>Circuit design | Analog filters | Sine | Signal attenuation | Resistors | Feedback resistors</t>
  </si>
  <si>
    <t>https://www.accessengineeringlibrary.com/content/video/V3128349468001</t>
  </si>
  <si>
    <t>Innovation Secrets of Steve Jobs: Introduction</t>
  </si>
  <si>
    <t>Innovation Secrets of Steve Jobs: Insanely Different Principles for Breakthrough Success</t>
  </si>
  <si>
    <t>https://www.accessengineeringlibrary.com/content/video/V3187552889001</t>
  </si>
  <si>
    <t>Innovation Secrets of Steve Jobs: Do What You Love</t>
  </si>
  <si>
    <t>https://www.accessengineeringlibrary.com/content/video/V3187552890001</t>
  </si>
  <si>
    <t>Innovation Secrets of Steve Jobs: Think Differently About Your Career</t>
  </si>
  <si>
    <t>https://www.accessengineeringlibrary.com/content/video/V3187552891001</t>
  </si>
  <si>
    <t>Innovation Secrets of Steve Jobs: Put a Dent in the Universe</t>
  </si>
  <si>
    <t>https://www.accessengineeringlibrary.com/content/video/V3187552892001</t>
  </si>
  <si>
    <t>Innovation Secrets of Steve Jobs: Seek Out New Experiences</t>
  </si>
  <si>
    <t>https://www.accessengineeringlibrary.com/content/video/V3187552893001</t>
  </si>
  <si>
    <t>Innovation Secrets of Steve Jobs: See Genius in Their Craziness</t>
  </si>
  <si>
    <t>https://www.accessengineeringlibrary.com/content/video/V3187552894001</t>
  </si>
  <si>
    <t>Innovation Secrets of Steve Jobs: Think Differently About Design</t>
  </si>
  <si>
    <t>https://www.accessengineeringlibrary.com/content/video/V3187552895001</t>
  </si>
  <si>
    <t>Innovation Secrets of Steve Jobs: Think Differently About Your Experience</t>
  </si>
  <si>
    <t>https://www.accessengineeringlibrary.com/content/video/V3187552896001</t>
  </si>
  <si>
    <t>Innovation Secrets of Steve Jobs: Master the Message</t>
  </si>
  <si>
    <t>https://www.accessengineeringlibrary.com/content/video/V3187552897001</t>
  </si>
  <si>
    <t>Innovation Secrets of Steve Jobs: Don't Let the Bozos Get You Down</t>
  </si>
  <si>
    <t>https://www.accessengineeringlibrary.com/content/video/V3187552898001</t>
  </si>
  <si>
    <t>Conductor Size</t>
  </si>
  <si>
    <t>Electric conductors | Electricity | Circuits | Voltage drop | Allowable load | Branch circuits</t>
  </si>
  <si>
    <t>https://www.accessengineeringlibrary.com/content/video/V3422515619001</t>
  </si>
  <si>
    <t>Load for Two-wire Branch Lighting Circuit</t>
  </si>
  <si>
    <t>Branch circuits | Electricity | Watts | Allowable load | Incandescent lamps</t>
  </si>
  <si>
    <t>Electrical engineering | Sciences | Energy engineering | Mechanical engineering | Civil engineering</t>
  </si>
  <si>
    <t>https://www.accessengineeringlibrary.com/content/video/V3422515620001</t>
  </si>
  <si>
    <t>Maximum Demand</t>
  </si>
  <si>
    <t>Electricity | Electrical load | Voltage | Branch circuits</t>
  </si>
  <si>
    <t>https://www.accessengineeringlibrary.com/content/video/V3422515621001</t>
  </si>
  <si>
    <t>Minimum Allowable Load</t>
  </si>
  <si>
    <t>Allowable load | Electricity | Electrical load | Voltage | Line voltage | Wiring</t>
  </si>
  <si>
    <t>Civil engineering | Mechanical engineering | Sciences | Electrical engineering | Energy engineering</t>
  </si>
  <si>
    <t>https://www.accessengineeringlibrary.com/content/video/V3422515622001</t>
  </si>
  <si>
    <t>Percentage Line Drop</t>
  </si>
  <si>
    <t>Voltage loss | Electricity | Power distribution | Electric power systems | Voltage drop | Line voltage</t>
  </si>
  <si>
    <t>https://www.accessengineeringlibrary.com/content/video/V3422515623001</t>
  </si>
  <si>
    <t>Voltage Drop</t>
  </si>
  <si>
    <t>Voltage drop | Electricity | Circuits | Direct current | Electric conductors</t>
  </si>
  <si>
    <t>https://www.accessengineeringlibrary.com/content/video/V3422515624001</t>
  </si>
  <si>
    <t>Schaum's Differential Equations Supplementary Problem 4.26</t>
  </si>
  <si>
    <t>Schaum's Outline of Differential Equations, Fourth Edition|Schaum's Outline of Differential Equations, Fifth Edition</t>
  </si>
  <si>
    <t>9780071824859|9781264258826</t>
  </si>
  <si>
    <t>Differential equations | Integrals | Factoring</t>
  </si>
  <si>
    <t>https://www.accessengineeringlibrary.com/content/video/V3615733077001</t>
  </si>
  <si>
    <t>Schaum's Differential Equations Supplementary Problem 4.47</t>
  </si>
  <si>
    <t>Differential equations</t>
  </si>
  <si>
    <t>https://www.accessengineeringlibrary.com/content/video/V3615733078001</t>
  </si>
  <si>
    <t>Schaum's Differential Equations Supplementary Problem 5.26</t>
  </si>
  <si>
    <t>Differential equations | Algebra</t>
  </si>
  <si>
    <t>https://www.accessengineeringlibrary.com/content/video/V3615733079001</t>
  </si>
  <si>
    <t>Schaum's Differential Equations Supplementary Problem 5.44</t>
  </si>
  <si>
    <t>Differential equations | Integrals</t>
  </si>
  <si>
    <t>https://www.accessengineeringlibrary.com/content/video/V3615733080001</t>
  </si>
  <si>
    <t>Schaum's Differential Equations Supplementary Problem 6.53</t>
  </si>
  <si>
    <t>Differential equations | Linear differential equations | Initial value problems | Exponents | Derivatives</t>
  </si>
  <si>
    <t>https://www.accessengineeringlibrary.com/content/video/V3615733081001</t>
  </si>
  <si>
    <t>Schaum's Differential Equations Supplementary Problem 7.34</t>
  </si>
  <si>
    <t>Differential equations | Radioactivity</t>
  </si>
  <si>
    <t>https://www.accessengineeringlibrary.com/content/video/V3615733082001</t>
  </si>
  <si>
    <t>Schaum's Differential Equations Supplementary Problem 7.64</t>
  </si>
  <si>
    <t>Differential equations | Linear differential equations | Mass | Initial value problems | Acceleration</t>
  </si>
  <si>
    <t>Mathematics | Sciences | Civil engineering | Mechanical engineering</t>
  </si>
  <si>
    <t>https://www.accessengineeringlibrary.com/content/video/V3615733083001</t>
  </si>
  <si>
    <t>Schaum's Differential Equations Supplementary Problem 7.68</t>
  </si>
  <si>
    <t>Differential equations | Salts | Linear differential equations | Water tanks | Initial value problems | First order systems</t>
  </si>
  <si>
    <t>Mathematics | Chemical engineering | Sciences | Civil engineering | Electrical engineering | Mechanical engineering</t>
  </si>
  <si>
    <t>https://www.accessengineeringlibrary.com/content/video/V3615733084001</t>
  </si>
  <si>
    <t>Schaum's Differential Equations Supplementary Problem 9.18</t>
  </si>
  <si>
    <t>Differential equations | Linear differential equations | Characteristic equation | Particular solution | Factoring | Derivatives</t>
  </si>
  <si>
    <t>Mathematics | Electrical engineering | Mechanical engineering</t>
  </si>
  <si>
    <t>https://www.accessengineeringlibrary.com/content/video/V3615733085001</t>
  </si>
  <si>
    <t>Schaum's Differential Equations Supplementary Problem 9.23</t>
  </si>
  <si>
    <t>Differential equations | Characteristic equation | Linear differential equations | Particular solution | Linear equations | Derivatives</t>
  </si>
  <si>
    <t>https://www.accessengineeringlibrary.com/content/video/V3615733086001</t>
  </si>
  <si>
    <t>Schaum's Differential Equations Supplementary Problem 9.33</t>
  </si>
  <si>
    <t>Differential equations | Linear differential equations | Characteristic equation | Derivatives | Sine | Cosine</t>
  </si>
  <si>
    <t>https://www.accessengineeringlibrary.com/content/video/V3615733087001</t>
  </si>
  <si>
    <t>Schaum's Differential Equations Supplementary Problem 11.48</t>
  </si>
  <si>
    <t>Differential equations | Linear differential equations | Initial value problems | Derivatives | Characteristic equation | Algebra</t>
  </si>
  <si>
    <t>https://www.accessengineeringlibrary.com/content/video/V3615733088001</t>
  </si>
  <si>
    <t>Schaum's Differential Equations Supplementary Problem 12.19</t>
  </si>
  <si>
    <t>Differential equations | Linear differential equations | Derivatives | Particular solution</t>
  </si>
  <si>
    <t>https://www.accessengineeringlibrary.com/content/video/V3615733089001</t>
  </si>
  <si>
    <t>Schaum's Differential Equations Supplementary Problem 14.48</t>
  </si>
  <si>
    <t>Differential equations | Linear differential equations | Cosine | Sine | Mass | Particular solution</t>
  </si>
  <si>
    <t>https://www.accessengineeringlibrary.com/content/video/V3615733090001</t>
  </si>
  <si>
    <t>Schaum's Differential Equations Supplementary Problem 14.54</t>
  </si>
  <si>
    <t>Differential equations | Circuits | Linear differential equations | Capacitors | Voltage | Initial value problems</t>
  </si>
  <si>
    <t>Mathematics | Electrical engineering | Sciences</t>
  </si>
  <si>
    <t>https://www.accessengineeringlibrary.com/content/video/V3615733091001</t>
  </si>
  <si>
    <t>Schaum's Differential Equations Supplementary Problem 24.29</t>
  </si>
  <si>
    <t>Differential equations | Laplace transform | Linear differential equations | Inverse Laplace transforms | Sine | Initial value problems</t>
  </si>
  <si>
    <t>https://www.accessengineeringlibrary.com/content/video/V3615733092001</t>
  </si>
  <si>
    <t>Schaum's Differential Equations Supplementary Problem 25.12</t>
  </si>
  <si>
    <t>Differential equations | Laplace transform | Linear differential equations | Inverse Laplace transforms | System of equations | Decomposition</t>
  </si>
  <si>
    <t>Mathematics | Electrical engineering | Mechanical engineering | Sciences</t>
  </si>
  <si>
    <t>https://www.accessengineeringlibrary.com/content/video/V3615733093001</t>
  </si>
  <si>
    <t>Schaum's Differential Equations Supplementary Problem 26.20</t>
  </si>
  <si>
    <t>Differential equations | Coefficient matrices | Linear differential equations | Eigenvalues | Matrices | Linear systems</t>
  </si>
  <si>
    <t>https://www.accessengineeringlibrary.com/content/video/V3615733094001</t>
  </si>
  <si>
    <t>Schaum's Differential Equations Supplementary Problem 27.36</t>
  </si>
  <si>
    <t>Differential equations | Power series | Linear differential equations</t>
  </si>
  <si>
    <t>https://www.accessengineeringlibrary.com/content/video/V3615733095001</t>
  </si>
  <si>
    <t>Schaum's Differential Equations Supplementary Problem 32.25</t>
  </si>
  <si>
    <t>Differential equations | Sine | Cosine | Boundary value equations | Particular solution</t>
  </si>
  <si>
    <t>https://www.accessengineeringlibrary.com/content/video/V3615733096001</t>
  </si>
  <si>
    <t>Measurement Systems Repeatability &amp; Reproducibility (R&amp;R) Analysis</t>
  </si>
  <si>
    <t>Six Sigma Handbook, Fourth Edition|Six Sigma Handbook, Fifth Edition|Six Sigma Handbook, Sixth Edition</t>
  </si>
  <si>
    <t>9780071840538|9781260121827|9781265143992</t>
  </si>
  <si>
    <t>Repeatabilty and reproducibility analysis | Measurement systems analysis | Systems analysis | Six Sigma | Control charts | X bar control charts</t>
  </si>
  <si>
    <t>https://www.accessengineeringlibrary.com/content/video/V3615833503001</t>
  </si>
  <si>
    <t>Measurement Systems R&amp;R Analysis using ANOVA</t>
  </si>
  <si>
    <t>Analysis of variance | Repeatabilty and reproducibility analysis | Measurement systems analysis | Systems analysis | Six Sigma | Control charts</t>
  </si>
  <si>
    <t>https://www.accessengineeringlibrary.com/content/video/V3615833504001</t>
  </si>
  <si>
    <t>Rolled Throughput Yield / Normalized Yield Calculations</t>
  </si>
  <si>
    <t>Rolled throughput yield | Normalized yield | Six Sigma | Throughput | Exponents | Fractions</t>
  </si>
  <si>
    <t>Engineering management | Industrial engineering | Mathematics</t>
  </si>
  <si>
    <t>https://www.accessengineeringlibrary.com/content/video/V3615833505001</t>
  </si>
  <si>
    <t>The Construction and Interpretation of XBar Control Charts</t>
  </si>
  <si>
    <t>Control charts | Six Sigma | X bar control charts | Range charts | Statistics | Sigma charts</t>
  </si>
  <si>
    <t>Engineering management | Industrial engineering | Computer science | Mathematics</t>
  </si>
  <si>
    <t>https://www.accessengineeringlibrary.com/content/video/V3615833506001</t>
  </si>
  <si>
    <t>XBar Control Chart Calculations</t>
  </si>
  <si>
    <t>Control charts | Six Sigma | X bar control charts | Range charts | Standard deviation | Sigma charts</t>
  </si>
  <si>
    <t>https://www.accessengineeringlibrary.com/content/video/V3615833507001</t>
  </si>
  <si>
    <t>Control Chart Interpretation: Historical Data</t>
  </si>
  <si>
    <t>Control charts | Six Sigma | X bar control charts | Data analysis | Run tests | Process time</t>
  </si>
  <si>
    <t>https://www.accessengineeringlibrary.com/content/video/V3615833508001</t>
  </si>
  <si>
    <t>Control Chart Interpretation: Multiple Stream Processes</t>
  </si>
  <si>
    <t>Control charts | Six Sigma | Run tests | Mean | X bar control charts | Video streams</t>
  </si>
  <si>
    <t>Engineering management | Industrial engineering | Computer science | Mathematics | Electrical engineering</t>
  </si>
  <si>
    <t>https://www.accessengineeringlibrary.com/content/video/V3615833509001</t>
  </si>
  <si>
    <t>Control Chart Interpretation: Autocorrelation</t>
  </si>
  <si>
    <t>Control charts | Six Sigma | X bar control charts | Mean | Range charts | Process time</t>
  </si>
  <si>
    <t>https://www.accessengineeringlibrary.com/content/video/V3615833510001</t>
  </si>
  <si>
    <t>Control Chart Interpretation: Data Resolution</t>
  </si>
  <si>
    <t>Control charts | Six Sigma | X bar control charts | Range charts | Diameter measurement | Standard deviation</t>
  </si>
  <si>
    <t>Engineering management | Industrial engineering | Mathematics | Computer science</t>
  </si>
  <si>
    <t>https://www.accessengineeringlibrary.com/content/video/V3615833511001</t>
  </si>
  <si>
    <t>Constructing XBar Control Chart in Minitab</t>
  </si>
  <si>
    <t>Control charts | Six Sigma | X bar control charts | Standard deviation | Sigma charts | Range charts</t>
  </si>
  <si>
    <t>https://www.accessengineeringlibrary.com/content/video/V3615833512001</t>
  </si>
  <si>
    <t>Analyzing Individuals Data on Process Control Charts</t>
  </si>
  <si>
    <t>Control charts | Six Sigma | Moving average charts | Process capabilities | Normal distribution | Individual x charts</t>
  </si>
  <si>
    <t>https://www.accessengineeringlibrary.com/content/video/V3615833513001</t>
  </si>
  <si>
    <t>Effect of Multi-stream Processes on Attribute Control Charts</t>
  </si>
  <si>
    <t>Attribute control charts | Six Sigma | P charts | Video streams | Control charts | Automobiles</t>
  </si>
  <si>
    <t>Engineering management | Industrial engineering | Electrical engineering | Civil engineering | Mechanical engineering</t>
  </si>
  <si>
    <t>https://www.accessengineeringlibrary.com/content/video/V3615833514001</t>
  </si>
  <si>
    <t>Process Capability in Minitab</t>
  </si>
  <si>
    <t>Process capabilities | Six Sigma | Normal distribution | Control charts | X bar control charts | Range charts</t>
  </si>
  <si>
    <t>https://www.accessengineeringlibrary.com/content/video/V3615833515001</t>
  </si>
  <si>
    <t>Regression Analysis in Minitab</t>
  </si>
  <si>
    <t>Regression analysis | Six Sigma | Confidence intervals | Scatterplots | Analysis of variance</t>
  </si>
  <si>
    <t>https://www.accessengineeringlibrary.com/content/video/V3615833516001</t>
  </si>
  <si>
    <t>Scatter Diagrams in Minitab</t>
  </si>
  <si>
    <t>Scatterplots | Six Sigma | Process time | Statistics | Regression analysis | Linear regression</t>
  </si>
  <si>
    <t>Computer science | Engineering management | Industrial engineering | Mathematics</t>
  </si>
  <si>
    <t>https://www.accessengineeringlibrary.com/content/video/V3615833517001</t>
  </si>
  <si>
    <t>Design of Experiments in Minitab: Generating the Design</t>
  </si>
  <si>
    <t>Design of experiments | Six Sigma | Mathematical optimization | Six Sigma leadership | Lean Six Sigma | Factorial designs</t>
  </si>
  <si>
    <t>Industrial engineering | Engineering management | Mathematics</t>
  </si>
  <si>
    <t>https://www.accessengineeringlibrary.com/content/video/V3615833518001</t>
  </si>
  <si>
    <t>Design of Experiments: Analysis of Data within Minitab</t>
  </si>
  <si>
    <t>Design of experiments | Data analysis | Six Sigma | Lean Six Sigma | Six Sigma leadership | Factorial designs</t>
  </si>
  <si>
    <t>Industrial engineering | Computer science | Engineering management</t>
  </si>
  <si>
    <t>https://www.accessengineeringlibrary.com/content/video/V3615833519001</t>
  </si>
  <si>
    <t>The Relationship between Sigma Levels and Defect Rate</t>
  </si>
  <si>
    <t>Defect rate | Six Sigma | Normal distribution | DPMO | Standard deviation | Mean</t>
  </si>
  <si>
    <t>https://www.accessengineeringlibrary.com/content/video/V3615833520001</t>
  </si>
  <si>
    <t>Customer Focus Using Kano</t>
  </si>
  <si>
    <t>Six Sigma | Innovation | Customer requirements | Process design | Sales | Leadership</t>
  </si>
  <si>
    <t>https://www.accessengineeringlibrary.com/content/video/V3615833521001</t>
  </si>
  <si>
    <t>Schaum's College Algebra Supplementary Problem 2.17</t>
  </si>
  <si>
    <t>Schaum's Outline of College Algebra, Fifth Edition|Schaum's Outline of College Algebra, 4th Edition</t>
  </si>
  <si>
    <t>9781260120769|9780071821810</t>
  </si>
  <si>
    <t>https://www.accessengineeringlibrary.com/content/video/V3637603932001</t>
  </si>
  <si>
    <t>Schaum's College Algebra Supplementary Problem 4.7</t>
  </si>
  <si>
    <t>Algebra | Process time | Exponents</t>
  </si>
  <si>
    <t>Mathematics | Industrial engineering</t>
  </si>
  <si>
    <t>https://www.accessengineeringlibrary.com/content/video/V3637603933001</t>
  </si>
  <si>
    <t>Schaum's College Algebra Supplementary Problem 5.14</t>
  </si>
  <si>
    <t>Algebra | Factoring</t>
  </si>
  <si>
    <t>https://www.accessengineeringlibrary.com/content/video/V3637603934001</t>
  </si>
  <si>
    <t>Schaum's College Algebra Supplementary Problem 6.11</t>
  </si>
  <si>
    <t>Algebra | Fractions</t>
  </si>
  <si>
    <t>https://www.accessengineeringlibrary.com/content/video/V3637603935001</t>
  </si>
  <si>
    <t>Schaum's College Algebra Supplementary Problem 7.20</t>
  </si>
  <si>
    <t>https://www.accessengineeringlibrary.com/content/video/V3637603936001</t>
  </si>
  <si>
    <t>Schaum's College Algebra Supplementary Problem 8.13</t>
  </si>
  <si>
    <t>https://www.accessengineeringlibrary.com/content/video/V3637603937001</t>
  </si>
  <si>
    <t>Schaum's College Algebra Supplementary Problem 9.9</t>
  </si>
  <si>
    <t>Algebra | Complex numbers</t>
  </si>
  <si>
    <t>https://www.accessengineeringlibrary.com/content/video/V3637603938001</t>
  </si>
  <si>
    <t>Schaum's College Algebra Supplementary Problem 10.13</t>
  </si>
  <si>
    <t>https://www.accessengineeringlibrary.com/content/video/V3637603939001</t>
  </si>
  <si>
    <t>Schaum's College Algebra Supplementary Problem 11.30</t>
  </si>
  <si>
    <t>https://www.accessengineeringlibrary.com/content/video/V3637603940001</t>
  </si>
  <si>
    <t>Schaum's College Algebra Supplementary Problem 12.39</t>
  </si>
  <si>
    <t>https://www.accessengineeringlibrary.com/content/video/V3637603941001</t>
  </si>
  <si>
    <t>Schaum's College Algebra Supplementary Problem 13.40</t>
  </si>
  <si>
    <t>Algebra | Linear equations</t>
  </si>
  <si>
    <t>https://www.accessengineeringlibrary.com/content/video/V3637603942001</t>
  </si>
  <si>
    <t>Schaum's College Algebra Supplementary Problem 14.19</t>
  </si>
  <si>
    <t>Algebra | Equation of a line</t>
  </si>
  <si>
    <t>https://www.accessengineeringlibrary.com/content/video/V3637603943001</t>
  </si>
  <si>
    <t>Schaum's College Algebra Supplementary Problem 15.30</t>
  </si>
  <si>
    <t>Algebra | System of equations | Linear systems | Linear equations</t>
  </si>
  <si>
    <t>https://www.accessengineeringlibrary.com/content/video/V3637603944001</t>
  </si>
  <si>
    <t>Schaum's College Algebra Supplementary Problem 16.41</t>
  </si>
  <si>
    <t>Algebra | Quadratic equations | Factoring | Exponents</t>
  </si>
  <si>
    <t>https://www.accessengineeringlibrary.com/content/video/V3637603945001</t>
  </si>
  <si>
    <t>Schaum's College Algebra Supplementary Problem 17.18</t>
  </si>
  <si>
    <t>Algebra | Ellipses</t>
  </si>
  <si>
    <t>https://www.accessengineeringlibrary.com/content/video/V3637603946001</t>
  </si>
  <si>
    <t>Schaum's College Algebra Supplementary Problem 18.18</t>
  </si>
  <si>
    <t>Algebra | System of equations | Nonlinear systems | Nonlinear equations | Factoring</t>
  </si>
  <si>
    <t>https://www.accessengineeringlibrary.com/content/video/V3637603947001</t>
  </si>
  <si>
    <t>Schaum's College Algebra Supplementary Problem 19.30</t>
  </si>
  <si>
    <t>Algebra | Inequalities</t>
  </si>
  <si>
    <t>https://www.accessengineeringlibrary.com/content/video/V3637603948001</t>
  </si>
  <si>
    <t>Schaum's College Algebra Supplementary Problem 20.60</t>
  </si>
  <si>
    <t>Algebra | Nonlinear equations</t>
  </si>
  <si>
    <t>https://www.accessengineeringlibrary.com/content/video/V3637603949001</t>
  </si>
  <si>
    <t>Schaum's College Algebra Supplementary Problem 21.6</t>
  </si>
  <si>
    <t>Algebra | Rational functions</t>
  </si>
  <si>
    <t>https://www.accessengineeringlibrary.com/content/video/V3637603950001</t>
  </si>
  <si>
    <t>Schaum's College Algebra Supplementary Problem 22.79</t>
  </si>
  <si>
    <t>Algebra | Sequences and series | Geometric series | Quadratic equations</t>
  </si>
  <si>
    <t>https://www.accessengineeringlibrary.com/content/video/V3637603951001</t>
  </si>
  <si>
    <t>Schaum's College Algebra Supplementary Problem 23.26</t>
  </si>
  <si>
    <t>https://www.accessengineeringlibrary.com/content/video/V3637603952001</t>
  </si>
  <si>
    <t>Schaum's College Algebra Supplementary Problem 23.39</t>
  </si>
  <si>
    <t>Algebra | Logarithms | Exponents</t>
  </si>
  <si>
    <t>https://www.accessengineeringlibrary.com/content/video/V3637603953001</t>
  </si>
  <si>
    <t>Schaum's College Algebra Supplementary Problem 24.42</t>
  </si>
  <si>
    <t>Algebra | Radioactivity | Nuclear reactors</t>
  </si>
  <si>
    <t>Mathematics | Sciences | Chemical engineering | Energy engineering | Electrical engineering | Mechanical engineering</t>
  </si>
  <si>
    <t>https://www.accessengineeringlibrary.com/content/video/V3637603954001</t>
  </si>
  <si>
    <t>Schaum's College Algebra Supplementary Problem 25.91</t>
  </si>
  <si>
    <t>Algebra | Chemistry | Permutations and combinations</t>
  </si>
  <si>
    <t>Mathematics | Sciences | Computer science</t>
  </si>
  <si>
    <t>https://www.accessengineeringlibrary.com/content/video/V3637603955001</t>
  </si>
  <si>
    <t>Schaum's College Algebra Supplementary Problem 26.25</t>
  </si>
  <si>
    <t>Algebra | Binomial theorem</t>
  </si>
  <si>
    <t>https://www.accessengineeringlibrary.com/content/video/V3637603956001</t>
  </si>
  <si>
    <t>Schaum's College Algebra Supplementary Problem 27.47</t>
  </si>
  <si>
    <t>Algebra | Probability events | Probability | Mean | Binomials</t>
  </si>
  <si>
    <t>Mathematics | Computer science</t>
  </si>
  <si>
    <t>https://www.accessengineeringlibrary.com/content/video/V3637603957001</t>
  </si>
  <si>
    <t>Schaum's College Algebra Supplementary Problem 28.38</t>
  </si>
  <si>
    <t>https://www.accessengineeringlibrary.com/content/video/V3637603958001</t>
  </si>
  <si>
    <t>Schaum's College Algebra Supplementary Problem 29.12</t>
  </si>
  <si>
    <t>https://www.accessengineeringlibrary.com/content/video/V3637603959001</t>
  </si>
  <si>
    <t>Schaum's College Algebra Supplementary Problem 30.13</t>
  </si>
  <si>
    <t>Algebra | Mathematical inductions</t>
  </si>
  <si>
    <t>https://www.accessengineeringlibrary.com/content/video/V3637603960001</t>
  </si>
  <si>
    <t>Schaum's College Algebra Supplementary Problem 31.13</t>
  </si>
  <si>
    <t>Algebra | Decomposition | Rational functions | System of equations | Partial fractions</t>
  </si>
  <si>
    <t>https://www.accessengineeringlibrary.com/content/video/V3637603961001</t>
  </si>
  <si>
    <t>Using Consensus Criteria Method for a Prioritization Matrix</t>
  </si>
  <si>
    <t>Six Sigma | Project selection | Mean</t>
  </si>
  <si>
    <t>https://www.accessengineeringlibrary.com/content/video/V3667696169001</t>
  </si>
  <si>
    <t>Using a Prioritization Matrix with the Full Analytic Method</t>
  </si>
  <si>
    <t>Six Sigma | Project selection | Project scheduling | Rational method | Process metrics | Process design</t>
  </si>
  <si>
    <t>Engineering management | Industrial engineering | Civil engineering | Sciences</t>
  </si>
  <si>
    <t>https://www.accessengineeringlibrary.com/content/video/V3667696170001</t>
  </si>
  <si>
    <t>Analyzing a Designed Experiment in MS Excel-Part 2</t>
  </si>
  <si>
    <t>Six Sigma | Six Sigma leadership | Lean Six Sigma | Correlation | Data mining | Statistics</t>
  </si>
  <si>
    <t>https://www.accessengineeringlibrary.com/content/video/V3667696171001</t>
  </si>
  <si>
    <t>Analyzing a Designed Experiment in MS Excel-Part 1</t>
  </si>
  <si>
    <t>Six Sigma | Six Sigma leadership | Lean Six Sigma | Data analysis | Regression analysis</t>
  </si>
  <si>
    <t>https://www.accessengineeringlibrary.com/content/video/V3667696172001</t>
  </si>
  <si>
    <t>Load-Regulation and Load-Dump Accuracy</t>
  </si>
  <si>
    <t>Analog IC Design with Low-Dropout Regulators, Second Edition</t>
  </si>
  <si>
    <t>Loaders | Load regulation | Capacitors | Voltage output | Electron paramagnetic resonance | Voltage regulation</t>
  </si>
  <si>
    <t>Civil engineering | Electrical engineering | Energy engineering | Mechanical engineering | Sciences</t>
  </si>
  <si>
    <t>https://www.accessengineeringlibrary.com/content/video/V3705146112001</t>
  </si>
  <si>
    <t>Common-Emitter Amplifier with Degenerating Resistor</t>
  </si>
  <si>
    <t>Resistors | Amplifiers | Feedback amplifiers | Voltage | Circuits | Capacitors</t>
  </si>
  <si>
    <t>https://www.accessengineeringlibrary.com/content/video/V3705146113001</t>
  </si>
  <si>
    <t>Poles and Zeros for a Loaded Linear Regulator</t>
  </si>
  <si>
    <t>Load regulation | Loop gain | Linear phase locked loops | Capacitors | Resistors | Transistors</t>
  </si>
  <si>
    <t>https://www.accessengineeringlibrary.com/content/video/V3705146114001</t>
  </si>
  <si>
    <t>Bandgap Voltage Reference</t>
  </si>
  <si>
    <t>Voltage | Supply voltage | Resistors | Voltage regulation | Voltage output | Temperature coefficients</t>
  </si>
  <si>
    <t>https://www.accessengineeringlibrary.com/content/video/V3705246408001</t>
  </si>
  <si>
    <t>Bipolar-Junction Transistors</t>
  </si>
  <si>
    <t>Transistors | Direct current | Alternating current | Resistors | Voltage | Integrated circuits</t>
  </si>
  <si>
    <t>https://www.accessengineeringlibrary.com/content/video/V3705246409001</t>
  </si>
  <si>
    <t>Current Mirror</t>
  </si>
  <si>
    <t>Current mirrors | Current sources | Voltage | Resistors | Logarithms | Algebra</t>
  </si>
  <si>
    <t>https://www.accessengineeringlibrary.com/content/video/V3705246410001</t>
  </si>
  <si>
    <t>Power-Conversion Efficiency</t>
  </si>
  <si>
    <t>Watts | Servos | Microcontrollers | Load regulation | Load loss | Input voltage</t>
  </si>
  <si>
    <t>Electrical engineering | Energy engineering | Mechanical engineering | Computer engineering | Sciences</t>
  </si>
  <si>
    <t>https://www.accessengineeringlibrary.com/content/video/V3705246411001</t>
  </si>
  <si>
    <t>Common-Emitter Amplifier</t>
  </si>
  <si>
    <t>Amplifiers | Output resistance | Resistors | Voltage | Circuits | Capacitors</t>
  </si>
  <si>
    <t>Electrical engineering | Materials engineering | Sciences</t>
  </si>
  <si>
    <t>https://www.accessengineeringlibrary.com/content/video/V3705246412001</t>
  </si>
  <si>
    <t>123D Design: Project and Trim Tools</t>
  </si>
  <si>
    <t>3D Printing with Autodesk 123DÂ®, TinkercadÂ®, and MakerBotÂ®</t>
  </si>
  <si>
    <t>Lydia Cline</t>
  </si>
  <si>
    <t>3d printing | Autodesk 123D | Tinkercad | MakerBot</t>
  </si>
  <si>
    <t>https://www.accessengineeringlibrary.com/content/video/V4005352518001</t>
  </si>
  <si>
    <t>123D Design: Make a Pacman Ghost</t>
  </si>
  <si>
    <t>https://www.accessengineeringlibrary.com/content/video/V4005352519001</t>
  </si>
  <si>
    <t>123D Meshmixer: The Select Tool</t>
  </si>
  <si>
    <t>https://www.accessengineeringlibrary.com/content/video/V4005352520001</t>
  </si>
  <si>
    <t>123D Design: Cut Text Through a Plane</t>
  </si>
  <si>
    <t>https://www.accessengineeringlibrary.com/content/video/V4005352521001</t>
  </si>
  <si>
    <t>123D Design: Trim and Extend Tools</t>
  </si>
  <si>
    <t>https://www.accessengineeringlibrary.com/content/video/V4005352522001</t>
  </si>
  <si>
    <t>123D Design: Personalize a Business Card</t>
  </si>
  <si>
    <t>https://www.accessengineeringlibrary.com/content/video/V4005352523001</t>
  </si>
  <si>
    <t>Autodesk 123D: Make Construction Drawings from a 123D Model</t>
  </si>
  <si>
    <t>https://www.accessengineeringlibrary.com/content/video/V4005352524001</t>
  </si>
  <si>
    <t>123D Meshmixer: Use a Head Capture to make a Candy Jug</t>
  </si>
  <si>
    <t>https://www.accessengineeringlibrary.com/content/video/V4005352525001</t>
  </si>
  <si>
    <t>123D Meshmixer: Make a Custom Stamp</t>
  </si>
  <si>
    <t>https://www.accessengineeringlibrary.com/content/video/V4005352526001</t>
  </si>
  <si>
    <t>Tinkercad: How to Use Shape Generators</t>
  </si>
  <si>
    <t>https://www.accessengineeringlibrary.com/content/video/V4005352527001</t>
  </si>
  <si>
    <t>123D Design: Place an Svg File or Text on a Curved Surface</t>
  </si>
  <si>
    <t>https://www.accessengineeringlibrary.com/content/video/V4005352528001</t>
  </si>
  <si>
    <t>123D Design: Interface</t>
  </si>
  <si>
    <t>https://www.accessengineeringlibrary.com/content/video/V4005352529001</t>
  </si>
  <si>
    <t>123D Design: Make a Sun Sculpture</t>
  </si>
  <si>
    <t>https://www.accessengineeringlibrary.com/content/video/V4005352530001</t>
  </si>
  <si>
    <t>123D Design: Import an Svg File to Make a Pendant</t>
  </si>
  <si>
    <t>https://www.accessengineeringlibrary.com/content/video/V4005352531001</t>
  </si>
  <si>
    <t>123D Design: Frog in a Teacup</t>
  </si>
  <si>
    <t>https://www.accessengineeringlibrary.com/content/video/V4005352532001</t>
  </si>
  <si>
    <t>Tinkercad: Customize a Phone Case</t>
  </si>
  <si>
    <t>https://www.accessengineeringlibrary.com/content/video/V4005352533001</t>
  </si>
  <si>
    <t>Teach Yourself Electricity and Electronics: The Concept of RMS</t>
  </si>
  <si>
    <t>Electricity | Voltage | Sine | Resistors | Alternating current | Direct current</t>
  </si>
  <si>
    <t>https://www.accessengineeringlibrary.com/content/video/V4124557771001</t>
  </si>
  <si>
    <t>Teach Yourself Electricity and Electronics: RMS Voltage for a Square Wave</t>
  </si>
  <si>
    <t>Electricity | Voltage | Mean | Voltage peaks | Direct current | RMS value</t>
  </si>
  <si>
    <t>Sciences | Computer science | Mathematics | Electrical engineering</t>
  </si>
  <si>
    <t>https://www.accessengineeringlibrary.com/content/video/V4124557772001</t>
  </si>
  <si>
    <t>Teach Yourself Electricity and Electronics: What is Voltage "Drop"?</t>
  </si>
  <si>
    <t>Voltage drop | Electricity | Direct current | Resistors | Circuits | Electrical load</t>
  </si>
  <si>
    <t>https://www.accessengineeringlibrary.com/content/video/V4124557773001</t>
  </si>
  <si>
    <t>Teach Yourself Electricity and Electronics: Modulated Light Project</t>
  </si>
  <si>
    <t>Electricity | Modulation | Audio amplifiers | Microphones | Light emitting diodes | Telescopes</t>
  </si>
  <si>
    <t>https://www.accessengineeringlibrary.com/content/video/V4124557774001</t>
  </si>
  <si>
    <t>Teach Yourself Electricity and Electronics: Resonance Part 1</t>
  </si>
  <si>
    <t>Electricity | Resonance | Resonant circuits | Resistors | Resonant frequency | Impedance</t>
  </si>
  <si>
    <t>Sciences | Civil engineering | Mechanical engineering | Electrical engineering | Materials engineering</t>
  </si>
  <si>
    <t>https://www.accessengineeringlibrary.com/content/video/V4124557775001</t>
  </si>
  <si>
    <t>Teach Yourself Electricity and Electronics: Resonance Part 2</t>
  </si>
  <si>
    <t>Electricity | Resonance | Resonant frequency | Harmonics | Inductance | Capacitance</t>
  </si>
  <si>
    <t>https://www.accessengineeringlibrary.com/content/video/V4124557776001</t>
  </si>
  <si>
    <t>Teach Yourself Electricity and Electronics: Audio Limiter and Squelch</t>
  </si>
  <si>
    <t>Electricity | Diodes | Input voltage | Voltage output | Voltage | Semiconductors</t>
  </si>
  <si>
    <t>https://www.accessengineeringlibrary.com/content/video/V4124557777001</t>
  </si>
  <si>
    <t>Teach Yourself Electricity and Electronics: Audio Transformers</t>
  </si>
  <si>
    <t>Electricity | Audio transformers | Acoustic impedance | Impedance | Reactance | Microphones</t>
  </si>
  <si>
    <t>Sciences | Electrical engineering | Energy engineering | Mechanical engineering | Bioengineering | Materials engineering</t>
  </si>
  <si>
    <t>https://www.accessengineeringlibrary.com/content/video/V4124557778001</t>
  </si>
  <si>
    <t>Teach Yourself Electricity and Electronics: Impedance in Series</t>
  </si>
  <si>
    <t>Electrical impedance | Impedance | Electricity | Reactance | Real numbers | Inductors</t>
  </si>
  <si>
    <t>https://www.accessengineeringlibrary.com/content/video/V4124557779001</t>
  </si>
  <si>
    <t>All In One Civil Engineering PE Exam Guide: Method of Sections for Analysis of Trusses</t>
  </si>
  <si>
    <t>Civil Engineering All-In-One PE Exam Guide: Breadth and Depth, Third Edition|Civil Engineering PE All-in-One Exam Guide: Breadth and Depth, Fourth Edition|Civil Engineering PE All-in-One Exam Guide, 2024 Exam Edition</t>
  </si>
  <si>
    <t>9780071821957|9781260457223|9781265631055</t>
  </si>
  <si>
    <t>Civil engineering | Trusses | Method of sections | Fluidized bed combustion | Substructures | Static equilibrium</t>
  </si>
  <si>
    <t>https://www.accessengineeringlibrary.com/content/video/V4160983784001</t>
  </si>
  <si>
    <t>All In One Civil Engineering PE Exam Guide: Identification of Zero Force Members in a Truss</t>
  </si>
  <si>
    <t>Civil engineering | Trusses | Tension | Static equilibrium | Horizontal wells | Hinges</t>
  </si>
  <si>
    <t>Civil engineering | Mechanical engineering | Sciences | Energy engineering</t>
  </si>
  <si>
    <t>https://www.accessengineeringlibrary.com/content/video/V4160983785001</t>
  </si>
  <si>
    <t>All In One Civil Engineering PE Exam Guide: Calculation of Centroid and Moment of Inertia</t>
  </si>
  <si>
    <t>Civil engineering | Moment of inertia | Centers of mass | Geometric centroid | Parallel axis theorem | Flanges</t>
  </si>
  <si>
    <t>https://www.accessengineeringlibrary.com/content/video/V4160983786001</t>
  </si>
  <si>
    <t>All In One Civil Engineering PE Exam Guide: Calculation of Normal Stresses in a Section</t>
  </si>
  <si>
    <t>Civil engineering | Normal stress | Girders | Tension | Bending stress | Stress</t>
  </si>
  <si>
    <t>https://www.accessengineeringlibrary.com/content/video/V4160983787001</t>
  </si>
  <si>
    <t>All In One Civil Engineering PE Exam Guide: Open Channel Hydraulics - Analysis of Circular Conduits</t>
  </si>
  <si>
    <t>Civil engineering | Channel hydraulics | Flow rate | Open channel flow | Hydraulic diameter | Pipe flow</t>
  </si>
  <si>
    <t>https://www.accessengineeringlibrary.com/content/video/V4160983788001</t>
  </si>
  <si>
    <t>All In One Civil Engineering PE Exam Guide: Construction of a Unit Hydrograph</t>
  </si>
  <si>
    <t>Civil engineering | Unit hydrographs | Video streams | Precipitation | Watershed areas | Volume</t>
  </si>
  <si>
    <t>Civil engineering | Sciences | Electrical engineering | Chemical engineering | Mechanical engineering</t>
  </si>
  <si>
    <t>https://www.accessengineeringlibrary.com/content/video/V4160983789001</t>
  </si>
  <si>
    <t>All In One Civil Engineering PE Exam Guide: Hydrograph Synthesis</t>
  </si>
  <si>
    <t>Civil engineering | Hydrographs | Unit hydrographs | Precipitation | Unit conversion</t>
  </si>
  <si>
    <t>Civil engineering | Sciences | Energy engineering | Environmental engineering | Mathematics</t>
  </si>
  <si>
    <t>https://www.accessengineeringlibrary.com/content/video/V4160983790001</t>
  </si>
  <si>
    <t>All In One Civil Engineering PE Exam Guide: Stopping Sight Distance on a Circular Curve using the Horizontal Sightline Offset</t>
  </si>
  <si>
    <t>Civil engineering | Roadways | Cosine</t>
  </si>
  <si>
    <t>Civil engineering | Mathematics</t>
  </si>
  <si>
    <t>https://www.accessengineeringlibrary.com/content/video/V4160983791001</t>
  </si>
  <si>
    <t>All In One Civil Engineering PE Exam Guide: Phase Relationships for Soils</t>
  </si>
  <si>
    <t>Civil engineering | Soils | Phase relationships | Volume | Volume formulas | Soil borings</t>
  </si>
  <si>
    <t>Civil engineering | Sciences | Materials engineering | Chemical engineering | Mechanical engineering | Mathematics</t>
  </si>
  <si>
    <t>https://www.accessengineeringlibrary.com/content/video/V4160983792001</t>
  </si>
  <si>
    <t>All In One Civil Engineering PE Exam Guide: USDA Soil Classification</t>
  </si>
  <si>
    <t>Civil engineering | Soils | Clay | Silt | Sand | Gravel</t>
  </si>
  <si>
    <t>Civil engineering | Sciences</t>
  </si>
  <si>
    <t>https://www.accessengineeringlibrary.com/content/video/V4160983793001</t>
  </si>
  <si>
    <t>All In One Civil Engineering PE Exam Guide: Stability of Cantilever Retaining Walls</t>
  </si>
  <si>
    <t>Civil engineering | Retaining walls | Cantilevers | Safety factors | Footings | Coefficient of friction</t>
  </si>
  <si>
    <t>https://www.accessengineeringlibrary.com/content/video/V4160983794001</t>
  </si>
  <si>
    <t>All In One Civil Engineering PE Exam Guide: Critical Path Method</t>
  </si>
  <si>
    <t>Civil engineering | Critical path method | Project management techniques | Project management | Activity durations</t>
  </si>
  <si>
    <t>https://www.accessengineeringlibrary.com/content/video/V4160983795001</t>
  </si>
  <si>
    <t>All In One Civil Engineering PE Exam Guide: Average End Area Method</t>
  </si>
  <si>
    <t>Civil engineering | Earthworks | Volume | Parabolas</t>
  </si>
  <si>
    <t>Civil engineering | Chemical engineering | Mechanical engineering | Sciences | Mathematics</t>
  </si>
  <si>
    <t>https://www.accessengineeringlibrary.com/content/video/V4160983796001</t>
  </si>
  <si>
    <t>All In One Civil Engineering PE Exam Guide: Area of a Closed Traverse using Coordinates</t>
  </si>
  <si>
    <t>Civil engineering | Polygons | Area formulas</t>
  </si>
  <si>
    <t>https://www.accessengineeringlibrary.com/content/video/V4160983797001</t>
  </si>
  <si>
    <t>All In One Civil Engineering PE Exam Guide: Absolute Volume Method for Design of Concrete Mixes</t>
  </si>
  <si>
    <t>Civil engineering | Concrete mix | Cement | Aggregates | Volume | Fluid specific gravity</t>
  </si>
  <si>
    <t>Civil engineering | Materials engineering | Sciences | Chemical engineering | Mechanical engineering</t>
  </si>
  <si>
    <t>https://www.accessengineeringlibrary.com/content/video/V4160983798001</t>
  </si>
  <si>
    <t>All In One Civil Engineering PE Exam Guide: Mohr's Circle</t>
  </si>
  <si>
    <t>Civil engineering | Mohr's circle | Shear stress | Normal stress | Tension | Circles</t>
  </si>
  <si>
    <t>Civil engineering | Mechanical engineering | Sciences | Mathematics</t>
  </si>
  <si>
    <t>https://www.accessengineeringlibrary.com/content/video/V4160983799001</t>
  </si>
  <si>
    <t>All In One Civil Engineering PE Exam Guide: Steel Beam Selection using Plastic Section Modulus</t>
  </si>
  <si>
    <t>Civil engineering | Steel beams | Polymer engineering | Steel | Flanges | Yield stress</t>
  </si>
  <si>
    <t>Civil engineering | Mechanical engineering | Chemical engineering | Materials engineering</t>
  </si>
  <si>
    <t>https://www.accessengineeringlibrary.com/content/video/V4160983800001</t>
  </si>
  <si>
    <t>All In One Civil Engineering PE Exam Guide: Longitudinal Shear Stress due to Transverse Load</t>
  </si>
  <si>
    <t>Civil engineering | Shear stress | Shear force | Moment of inertia | Maximum shear stress | Flanges</t>
  </si>
  <si>
    <t>https://www.accessengineeringlibrary.com/content/video/V4160983801001</t>
  </si>
  <si>
    <t>All In One Civil Engineering PE Exam Guide: Bearing Capacity of Shallow Foundations</t>
  </si>
  <si>
    <t>Civil engineering | Bearing capacity | Shallow foundations | Footings | Soils | Safety factors</t>
  </si>
  <si>
    <t>Civil engineering | Sciences | Mechanical engineering</t>
  </si>
  <si>
    <t>https://www.accessengineeringlibrary.com/content/video/V4160983802001</t>
  </si>
  <si>
    <t>All In One Civil Engineering PE Exam Guide: Moment Capacity of a Concrete Beam</t>
  </si>
  <si>
    <t>Civil engineering | Concrete beams | Bending moment diagrams | Reinforced concrete beams | Steel | Tensile stress</t>
  </si>
  <si>
    <t>https://www.accessengineeringlibrary.com/content/video/V4160983803001</t>
  </si>
  <si>
    <t>All In One Civil Engineering PE Exam Guide: Reinforced Concrete Beams - Stirrup Spacing</t>
  </si>
  <si>
    <t>Civil engineering | Reinforced concrete beams | Shear force | Yield strength | Steel | Shear strength</t>
  </si>
  <si>
    <t>https://www.accessengineeringlibrary.com/content/video/V4160983804001</t>
  </si>
  <si>
    <t>All In One Civil Engineering PE Exam Guide: Open Channel Hydraulics - Analysis of Channels with Straight Sides</t>
  </si>
  <si>
    <t>Civil engineering | Channel hydraulics | Flow rate | Open channel flow | Roughness | Hydraulic diameter</t>
  </si>
  <si>
    <t>Civil engineering | Chemical engineering | Mechanical engineering | Materials engineering</t>
  </si>
  <si>
    <t>https://www.accessengineeringlibrary.com/content/video/V4163105219001</t>
  </si>
  <si>
    <t>Alkalinity Concepts Video 1: pH of Pristine Rain Water Quality &amp;amp; Treatment: A Handbook on Drinking Water</t>
  </si>
  <si>
    <t>Water Quality &amp;amp; Treatment: A Handbook on Drinking Water</t>
  </si>
  <si>
    <t>Henry Mott""</t>
  </si>
  <si>
    <t>McGraw-Hill Professional""</t>
  </si>
  <si>
    <t>Alkalinity | Water treatment | Water quality | Potable water | Protons | pH""</t>
  </si>
  <si>
    <t>Materials engineering | Sciences | Environmental engineering | Civil engineering | Energy engineering""</t>
  </si>
  <si>
    <t>https://www.accessengineeringlibrary.com/content/video/V4199138213001</t>
  </si>
  <si>
    <t>Lime Soda Softening Video Three: Straight and Lime-soda Softening Residuals Production Computations</t>
  </si>
  <si>
    <t>Lime soda softening | Water treatment | Water quality | Potable water | Water hardness | Lime softening""</t>
  </si>
  <si>
    <t>Environmental engineering | Civil engineering | Energy engineering | Sciences""</t>
  </si>
  <si>
    <t>https://www.accessengineeringlibrary.com/content/video/V4199138214001</t>
  </si>
  <si>
    <t>Lime Soda Softening Video One: Construction of a Raw Water Bar Diagram</t>
  </si>
  <si>
    <t>Raw water | Lime soda softening | Water quality | Water treatment | Potable water | Unit conversion""</t>
  </si>
  <si>
    <t>Civil engineering | Energy engineering | Environmental engineering | Sciences | Mathematics""</t>
  </si>
  <si>
    <t>https://www.accessengineeringlibrary.com/content/video/V4199138215001</t>
  </si>
  <si>
    <t>Water Treatment Plant Solids Balance Video One: Chemical Requirements and Residuals Production from Conventional Water Treatment</t>
  </si>
  <si>
    <t>Water treatment plants | Chemicals | Water treatment | Water quality | Potable water | Surface water""</t>
  </si>
  <si>
    <t>Environmental engineering | Sciences | Civil engineering | Energy engineering""</t>
  </si>
  <si>
    <t>https://www.accessengineeringlibrary.com/content/video/V4199138216001</t>
  </si>
  <si>
    <t>Granular Media Filtration Video One: Media Selection for Dual Medium Filtration</t>
  </si>
  <si>
    <t>Granular media filtration | Filtration performance | Sand | Water treatment | Water quality | Potable water""</t>
  </si>
  <si>
    <t>Environmental engineering | Civil engineering | Sciences | Energy engineering""</t>
  </si>
  <si>
    <t>https://www.accessengineeringlibrary.com/content/video/V4199138220001</t>
  </si>
  <si>
    <t>Granular Activated Carbon Bed Performance: Sizing/configuration of GAC Column for Multiple Adsorbates using IAST</t>
  </si>
  <si>
    <t>Granular activated carbon | Water treatment | Water quality | Potable water | Well water | Water pollution""</t>
  </si>
  <si>
    <t>https://www.accessengineeringlibrary.com/content/video/V4199138221001</t>
  </si>
  <si>
    <t>Granular Activated Carbon Bed Performance: Sizing/configuration of GAC Column for Single Adsorbate</t>
  </si>
  <si>
    <t>Granular activated carbon | Water treatment | Water pollution | Water quality | Potable water | Carbon""</t>
  </si>
  <si>
    <t>https://www.accessengineeringlibrary.com/content/video/V4199138224001</t>
  </si>
  <si>
    <t>Alkalinity Concepts Video 2: Alkalinity of Pristine Rain</t>
  </si>
  <si>
    <t>Alkalinity | Water treatment | Water quality | Potable water | Titration | Carbon""</t>
  </si>
  <si>
    <t>https://www.accessengineeringlibrary.com/content/video/V4199176147001</t>
  </si>
  <si>
    <t>Alkalinity Concepts Video 3: Analysis of Measured Alkalinity</t>
  </si>
  <si>
    <t>Alkalinity | Water treatment | Water quality | Potable water | Carbon | Titration""</t>
  </si>
  <si>
    <t>https://www.accessengineeringlibrary.com/content/video/V4199176151001</t>
  </si>
  <si>
    <t>Lime Soda Softening Video Two: Straight and Lime-soda Softening Reagent Dose Computations</t>
  </si>
  <si>
    <t>Lime soda softening | Reagents | Water treatment | Water quality | Potable water | Carbon dioxide""</t>
  </si>
  <si>
    <t>Environmental engineering | Chemical engineering | Sciences | Civil engineering | Energy engineering""</t>
  </si>
  <si>
    <t>https://www.accessengineeringlibrary.com/content/video/V4199176154001</t>
  </si>
  <si>
    <t>Water Treatment Plant Solids Balance Video Three: Water and Solids Balance for Dewatering of Thickened Conventional Water Plant Sludge</t>
  </si>
  <si>
    <t>Water treatment plants | Sludge dewatering | Water treatment | Water quality | Potable water | Surface water""</t>
  </si>
  <si>
    <t>https://www.accessengineeringlibrary.com/content/video/V4199176155001</t>
  </si>
  <si>
    <t>Granular Media Filtration Video 5: On Particle Sphericity</t>
  </si>
  <si>
    <t>Granular media filtration | Water treatment | Water quality | Potable water | Particle velocity | Hydraulics""</t>
  </si>
  <si>
    <t>Environmental engineering | Civil engineering | Energy engineering | Sciences | Mechanical engineering | Chemical engineering""</t>
  </si>
  <si>
    <t>https://www.accessengineeringlibrary.com/content/video/V4199176156001</t>
  </si>
  <si>
    <t>Granular Media Filtration Video Three: Computation of Backwash Bed Expansion and Backwash Flow Rate</t>
  </si>
  <si>
    <t>Backwashing | Granular media filtration | Flow rate | Water treatment | Water quality | Potable water""</t>
  </si>
  <si>
    <t>Environmental engineering | Chemical engineering | Civil engineering | Mechanical engineering | Energy engineering | Sciences""</t>
  </si>
  <si>
    <t>https://www.accessengineeringlibrary.com/content/video/V4199176157001</t>
  </si>
  <si>
    <t>Granular Activated Carbon Bed Performance: Estimation of Mass Transfer Zone Thickness for a GAC Column</t>
  </si>
  <si>
    <t>Granular activated carbon | Mass transfer | Water treatment | Water quality | Potable water | Mass transfer models""</t>
  </si>
  <si>
    <t>Environmental engineering | Chemical engineering | Civil engineering | Energy engineering | Sciences""</t>
  </si>
  <si>
    <t>https://www.accessengineeringlibrary.com/content/video/V4199176162001</t>
  </si>
  <si>
    <t>Alkalinity Concepts Video 4: Alkalinity Error Analysis</t>
  </si>
  <si>
    <t>Alkalinity | Error analysis | Water treatment | Water quality | Potable water | Titration""</t>
  </si>
  <si>
    <t>Materials engineering | Sciences | Mathematics | Environmental engineering | Civil engineering | Energy engineering""</t>
  </si>
  <si>
    <t>https://www.accessengineeringlibrary.com/content/video/V4199201568001</t>
  </si>
  <si>
    <t>Lime Soda Softening Video Four: Excess Lime Split Treatment Softening - Reagent Doses and Residuals Production</t>
  </si>
  <si>
    <t>Lime soda softening | Reagents | Excess lime softening | Water treatment | Water quality | Potable water""</t>
  </si>
  <si>
    <t>https://www.accessengineeringlibrary.com/content/video/V4199201572001</t>
  </si>
  <si>
    <t>Water Treatment Plant Solids Balance Video Two: Water and Solids Balance for Thickening of Conventional Water Plant Sedimentation Underflow</t>
  </si>
  <si>
    <t>Water treatment plants | Water treatment | Water quality | Potable water | Surface water | Surface treatment""</t>
  </si>
  <si>
    <t>Environmental engineering | Civil engineering | Energy engineering | Sciences | Industrial engineering | Materials engineering""</t>
  </si>
  <si>
    <t>https://www.accessengineeringlibrary.com/content/video/V4199201575001</t>
  </si>
  <si>
    <t>Granular Media Filtration Video 4: Analysis of Filter Medium Segregation after Backwashing</t>
  </si>
  <si>
    <t>Backwashing | Granular media filtration | Water treatment | Water quality | Potable water | Human resource development""</t>
  </si>
  <si>
    <t>Environmental engineering | Civil engineering | Energy engineering | Sciences | Business skills""</t>
  </si>
  <si>
    <t>https://www.accessengineeringlibrary.com/content/video/V4199201577001</t>
  </si>
  <si>
    <t>Granular Media Filtration Video Two: Computation of Clean-bed Head Loss</t>
  </si>
  <si>
    <t>Pressure drop | Granular media filtration | Water treatment | Water quality | Potable water | Sand""</t>
  </si>
  <si>
    <t>Chemical engineering | Civil engineering | Mechanical engineering | Environmental engineering | Energy engineering | Sciences""</t>
  </si>
  <si>
    <t>https://www.accessengineeringlibrary.com/content/video/V4199201580001</t>
  </si>
  <si>
    <t>Granular Activated Carbon Bed Performance: Approximate Model for Mass Transfer Zone Thickness</t>
  </si>
  <si>
    <t>Mass transfer models | Granular activated carbon | Water treatment | Water quality | Potable water | Adsorption""</t>
  </si>
  <si>
    <t>Chemical engineering | Environmental engineering | Civil engineering | Energy engineering | Sciences""</t>
  </si>
  <si>
    <t>https://www.accessengineeringlibrary.com/content/video/V4199201582001</t>
  </si>
  <si>
    <t>All In One Civil Engineering PE Exam Guide: Clear Zone (Roadside Design Guide)</t>
  </si>
  <si>
    <t>Civil engineering | Roadways | Pavement</t>
  </si>
  <si>
    <t>https://www.accessengineeringlibrary.com/content/video/V4398262814001</t>
  </si>
  <si>
    <t>All In One Civil Engineering PE Exam Guide: Biochemical Oxygen Demand</t>
  </si>
  <si>
    <t>Civil engineering | BOD | BOD ultimate | Wastewater | K value | Water demand</t>
  </si>
  <si>
    <t>Civil engineering | Environmental engineering | Chemical engineering | Sciences | Materials engineering | Energy engineering</t>
  </si>
  <si>
    <t>https://www.accessengineeringlibrary.com/content/video/V4398262822001</t>
  </si>
  <si>
    <t>All In One Civil Engineering PE Exam Guide: Highway Geometric Design - Parabolic Curves</t>
  </si>
  <si>
    <t>Civil engineering | Parabolas | Highways | Highway design | Polyvinyl chloride | Tangent</t>
  </si>
  <si>
    <t>Civil engineering | Mathematics | Chemical engineering | Sciences | Materials engineering</t>
  </si>
  <si>
    <t>https://www.accessengineeringlibrary.com/content/video/V4398262825001</t>
  </si>
  <si>
    <t>All In One Civil Engineering PE Exam Guide: Influence Line for Truss Member Force</t>
  </si>
  <si>
    <t>Civil engineering | Trusses | Influence lines | Axial members | Loaded members | Cosine</t>
  </si>
  <si>
    <t>https://www.accessengineeringlibrary.com/content/video/V4398262830001</t>
  </si>
  <si>
    <t>All In One Civil Engineering PE Exam Guide: Lateral Pressure due to Fresh Concrete in Forms</t>
  </si>
  <si>
    <t>Civil engineering | Formwork | Hydrostatic pressure | Placing concrete | Total pressure | Cement</t>
  </si>
  <si>
    <t>Civil engineering | Chemical engineering | Mechanical engineering | Aerospace engineering | Sciences | Materials engineering</t>
  </si>
  <si>
    <t>https://www.accessengineeringlibrary.com/content/video/V4398272078001</t>
  </si>
  <si>
    <t>All In One Civil Engineering PE Exam Guide: Analysis/Design of Axially Loaded Reinforced Concrete Column</t>
  </si>
  <si>
    <t>Civil Engineering All-In-One PE Exam Guide: Breadth and Depth, Third Edition|Civil Engineering PE All-in-One Exam Guide: Breadth and Depth, Fourth Edition</t>
  </si>
  <si>
    <t>9780071821957|9781260457223</t>
  </si>
  <si>
    <t>Civil engineering | Reinforced concrete columns | Axial load | Steel | Yield stress | Rectangular columns</t>
  </si>
  <si>
    <t>https://www.accessengineeringlibrary.com/content/video/V4398272085001</t>
  </si>
  <si>
    <t>All In One Civil Engineering PE Exam Guide: Spiral Curve Geometry</t>
  </si>
  <si>
    <t>Civil engineering | Tangent | Particle scattering | Radius of curvature | Geometric properties of areas | Sine</t>
  </si>
  <si>
    <t>Civil engineering | Mathematics | Electrical engineering | Sciences</t>
  </si>
  <si>
    <t>https://www.accessengineeringlibrary.com/content/video/V4398272104001</t>
  </si>
  <si>
    <t>All In One Civil Engineering PE Exam Guide: Level of Service for a Freeway Segment</t>
  </si>
  <si>
    <t>Civil engineering | Highway level of service | Highways | Free flow speed | Fluid density | Development density</t>
  </si>
  <si>
    <t>Civil engineering | Chemical engineering | Mechanical engineering | Sciences | Energy engineering | Environmental engineering</t>
  </si>
  <si>
    <t>https://www.accessengineeringlibrary.com/content/video/V4398329012001</t>
  </si>
  <si>
    <t>All In One Civil Engineering PE Exam Guide: Chlorination</t>
  </si>
  <si>
    <t>Civil engineering | Free chlorine | Water disinfection | Flow rate | Water demand | Product development</t>
  </si>
  <si>
    <t>Civil engineering | Environmental engineering | Chemical engineering | Mechanical engineering | Energy engineering | Sciences | Business skills | Engineering management</t>
  </si>
  <si>
    <t>https://www.accessengineeringlibrary.com/content/video/V4398329017001</t>
  </si>
  <si>
    <t>All In One Civil Engineering PE Exam Guide: Highway Geometric Design - Circular Curves</t>
  </si>
  <si>
    <t>Civil engineering | Highways | Highway design | Tangent | Particle scattering | Bearings</t>
  </si>
  <si>
    <t>Civil engineering | Mathematics | Electrical engineering | Sciences | Mechanical engineering</t>
  </si>
  <si>
    <t>https://www.accessengineeringlibrary.com/content/video/V4398329019001</t>
  </si>
  <si>
    <t>All In One Civil Engineering PE Exam Guide: Settlement Due to Primary Consolidation in Soils</t>
  </si>
  <si>
    <t>Civil engineering | Soils | Volume | Volume formulas | Soil borings | Fluid specific gravity</t>
  </si>
  <si>
    <t>Civil engineering | Sciences | Chemical engineering | Mechanical engineering | Mathematics</t>
  </si>
  <si>
    <t>https://www.accessengineeringlibrary.com/content/video/V4398329025001</t>
  </si>
  <si>
    <t>All In One Civil Engineering PE Exam Guide: Drawdown of Groundwater Due to Pumping from an Unconfined Aquifer</t>
  </si>
  <si>
    <t>Civil engineering | Aquifers | Pumping | Water wells | Flow rate | Soils</t>
  </si>
  <si>
    <t>Civil engineering | Sciences | Chemical engineering | Mechanical engineering</t>
  </si>
  <si>
    <t>https://www.accessengineeringlibrary.com/content/video/V4398329032001</t>
  </si>
  <si>
    <t>All In One Civil Engineering PE Exam Guide: Hardness in Water</t>
  </si>
  <si>
    <t>Water hardness | Civil engineering | Sulfates | Alkalinity | Equivalent weights | Unit conversion</t>
  </si>
  <si>
    <t>Environmental engineering | Civil engineering | Chemical engineering | Sciences | Materials engineering | Mathematics</t>
  </si>
  <si>
    <t>https://www.accessengineeringlibrary.com/content/video/V4398329034001</t>
  </si>
  <si>
    <t>All In One Civil Engineering PE Exam Guide: Stopping Sight Distance</t>
  </si>
  <si>
    <t>Civil engineering | Coefficient of friction | Automobile braking systems | Velocity gradients | Deceleration | Gravity</t>
  </si>
  <si>
    <t>Civil engineering | Materials engineering | Mechanical engineering | Sciences | Chemical engineering</t>
  </si>
  <si>
    <t>https://www.accessengineeringlibrary.com/content/video/V4398329038001</t>
  </si>
  <si>
    <t>All In One Civil Engineering PE Exam Guide: USCS Soil Classification</t>
  </si>
  <si>
    <t>Civil engineering | Soils | Soil texture | Plastic deformation | Polymers | Silt</t>
  </si>
  <si>
    <t>Civil engineering | Sciences | Industrial engineering | Materials engineering | Chemical engineering</t>
  </si>
  <si>
    <t>https://www.accessengineeringlibrary.com/content/video/V4398329042001</t>
  </si>
  <si>
    <t>All In One Civil Engineering PE Exam Guide: Slope Stability</t>
  </si>
  <si>
    <t>Civil engineering | Slope stability | Safety factors | Triangles | Circles | Soils</t>
  </si>
  <si>
    <t>Civil engineering | Mechanical engineering | Mathematics | Sciences</t>
  </si>
  <si>
    <t>https://www.accessengineeringlibrary.com/content/video/V4414255699001</t>
  </si>
  <si>
    <t>All In One Civil Engineering PE Exam Guide: Use of the Moody Diagram to Calculate Friction Loss in Closed Conduits</t>
  </si>
  <si>
    <t>Civil engineering | Moody diagrams | Friction loss | Pressure drop | Pipes | Roughness</t>
  </si>
  <si>
    <t>https://www.accessengineeringlibrary.com/content/video/V4414265572001</t>
  </si>
  <si>
    <t>Handbook of Chemical Engineering Calculations Video 1.4 Redlich-Kwong Equation of State</t>
  </si>
  <si>
    <t>Handbook of Chemical Engineering Calculations, Fourth Edition</t>
  </si>
  <si>
    <t>Chemical engineering | Equations of state | Volume | Critical temperature | Critical pressure | Gas constant</t>
  </si>
  <si>
    <t>https://www.accessengineeringlibrary.com/content/video/V4620128847001</t>
  </si>
  <si>
    <t>Handbook of Chemical Engineering Calculations Video 6.1 Bernoulli's Theorem and Equation of Continuity</t>
  </si>
  <si>
    <t>Chemical engineering | Conservation of mass | Pressure drop | Pipes | Bernoulli equation | Flow velocity</t>
  </si>
  <si>
    <t>https://www.accessengineeringlibrary.com/content/video/V4620128848001</t>
  </si>
  <si>
    <t>Handbook of Chemical Engineering Calculations Video 1.1 Molar Gas Constant</t>
  </si>
  <si>
    <t>Chemical engineering | Gas constant | Systems of units | Gases | Gas pressure | Horsepower</t>
  </si>
  <si>
    <t>Chemical engineering | Aerospace engineering | Civil engineering | Mechanical engineering | Sciences | Electrical engineering | Energy engineering</t>
  </si>
  <si>
    <t>https://www.accessengineeringlibrary.com/content/video/V4620147563001</t>
  </si>
  <si>
    <t>Handbook of Chemical Engineering Calculations Video 1.2 Estimation of Critical Temperature from Empirical Correlation</t>
  </si>
  <si>
    <t>Critical temperature | Chemical engineering | Boiling point | Benzene | Hydrocarbons | Fluid specific gravity</t>
  </si>
  <si>
    <t>Chemical engineering | Mechanical engineering | Sciences | Energy engineering | Civil engineering</t>
  </si>
  <si>
    <t>https://www.accessengineeringlibrary.com/content/video/V4620147575001</t>
  </si>
  <si>
    <t>Handbook of Chemical Engineering Calculations Video 1.7 Estimation of Liquid Density</t>
  </si>
  <si>
    <t>Fluid density | Chemical engineering | Ammonia | Critical temperature | Volume | Specific volume</t>
  </si>
  <si>
    <t>https://www.accessengineeringlibrary.com/content/video/V4620147576001</t>
  </si>
  <si>
    <t>Handbook of Chemical Engineering Calculations Video 1.11 Enthalpy Difference for Ideal Gas</t>
  </si>
  <si>
    <t>Enthalpy | Chemical engineering | Ideal gas law | Integrals | Temperature</t>
  </si>
  <si>
    <t>https://www.accessengineeringlibrary.com/content/video/V4620147578001</t>
  </si>
  <si>
    <t>Handbook of Chemical Engineering Calculations Video 1.15 Entropy Involving a Phase Change</t>
  </si>
  <si>
    <t>Chemical engineering | Entropy | Phase transitions | Volatilization | Fusion | Benzene</t>
  </si>
  <si>
    <t>Chemical engineering | Mechanical engineering | Sciences | Energy engineering</t>
  </si>
  <si>
    <t>https://www.accessengineeringlibrary.com/content/video/V4620147579001</t>
  </si>
  <si>
    <t>Handbook of Chemical Engineering Calculations Video 1.6 Density of a Gas Mixture</t>
  </si>
  <si>
    <t>Fluid density | Chemical engineering | Gas mixtures | Gases | Natural gas | Compressibility factor</t>
  </si>
  <si>
    <t>https://www.accessengineeringlibrary.com/content/video/V4620155041001</t>
  </si>
  <si>
    <t>Handbook of Chemical Engineering Calculations Video 1.9 Heat Capacity of Real Gases</t>
  </si>
  <si>
    <t>Heat capacity | Chemical engineering | Gases | Ethane | Ideal gas law | Gas pressure</t>
  </si>
  <si>
    <t>Materials engineering | Chemical engineering | Sciences | Energy engineering | Mechanical engineering | Civil engineering</t>
  </si>
  <si>
    <t>https://www.accessengineeringlibrary.com/content/video/V4620155044001</t>
  </si>
  <si>
    <t>Handbook of Chemical Engineering Calculations Video 6.2 Specific Gravity and Viscosity of Liquids</t>
  </si>
  <si>
    <t>Chemical engineering | Fluid specific gravity | Specific viscosity | Viscous fluids | Gravity | Absolute viscosity</t>
  </si>
  <si>
    <t>https://www.accessengineeringlibrary.com/content/video/V4620155046001</t>
  </si>
  <si>
    <t>Handbook of Chemical Engineering Calculations Video 6.3 Pressure Loss in Piping with Laminar Flow</t>
  </si>
  <si>
    <t>Laminar flow | Chemical engineering | Piping | Pipe flow | Static pressure | Pumping</t>
  </si>
  <si>
    <t>https://www.accessengineeringlibrary.com/content/video/V4620155047001</t>
  </si>
  <si>
    <t>Handbook of Chemical Engineering Calculations Video 6.5 Equivalent of a Complex-Series Pipeline</t>
  </si>
  <si>
    <t>Chemical engineering | Pipelines | Pipes | Friction factors</t>
  </si>
  <si>
    <t>https://www.accessengineeringlibrary.com/content/video/V4620155048001</t>
  </si>
  <si>
    <t>Handbook of Chemical Engineering Calculations Video 6.8 Relative Carrying Capacity of Pipes</t>
  </si>
  <si>
    <t>Pipes | Chemical engineering | Gas pipes</t>
  </si>
  <si>
    <t>https://www.accessengineeringlibrary.com/content/video/V4620155049001</t>
  </si>
  <si>
    <t>Handbook of Chemical Engineering Calculations Video 7.8 Batch Heating: Internal Coil, Isothermal Heating Medium</t>
  </si>
  <si>
    <t>Chemical engineering | Specific heat | Temperature | Mass</t>
  </si>
  <si>
    <t>Chemical engineering | Materials engineering | Mechanical engineering | Sciences</t>
  </si>
  <si>
    <t>https://www.accessengineeringlibrary.com/content/video/V4620155050001</t>
  </si>
  <si>
    <t>Handbook of Chemical Engineering Calculations Video 7.5 Heat Loss from a Buried Line</t>
  </si>
  <si>
    <t>Chemical engineering | Soils | Thermal conductivity | Temperature | Pipes | Surface topography</t>
  </si>
  <si>
    <t>Chemical engineering | Civil engineering | Sciences | Materials engineering | Mechanical engineering</t>
  </si>
  <si>
    <t>https://www.accessengineeringlibrary.com/content/video/V4620171674001</t>
  </si>
  <si>
    <t>Apply Images to the Model</t>
  </si>
  <si>
    <t>3D Printing and CNC Fabrication with SketchUp</t>
  </si>
  <si>
    <t>3d printing | CNC fabrication | SketchUp</t>
  </si>
  <si>
    <t>https://www.accessengineeringlibrary.com/content/video/V4768134735001</t>
  </si>
  <si>
    <t>AutoCAD Floor Plan</t>
  </si>
  <si>
    <t>https://www.accessengineeringlibrary.com/content/video/V4768134736001</t>
  </si>
  <si>
    <t>Color the Model</t>
  </si>
  <si>
    <t>https://www.accessengineeringlibrary.com/content/video/V4768134737001</t>
  </si>
  <si>
    <t>Import an STL File</t>
  </si>
  <si>
    <t>https://www.accessengineeringlibrary.com/content/video/V4768134738001</t>
  </si>
  <si>
    <t>Making a 3D-Printable Model</t>
  </si>
  <si>
    <t>https://www.accessengineeringlibrary.com/content/video/V4768134739001</t>
  </si>
  <si>
    <t>Pencil Holder</t>
  </si>
  <si>
    <t>3d printing</t>
  </si>
  <si>
    <t>https://www.accessengineeringlibrary.com/content/video/V4768134740001</t>
  </si>
  <si>
    <t>Radial Array</t>
  </si>
  <si>
    <t>https://www.accessengineeringlibrary.com/content/video/V4768134741001</t>
  </si>
  <si>
    <t>Split a Model in Half</t>
  </si>
  <si>
    <t>https://www.accessengineeringlibrary.com/content/video/V4768134742001</t>
  </si>
  <si>
    <t>Terrain Model</t>
  </si>
  <si>
    <t>https://www.accessengineeringlibrary.com/content/video/V4768134744001</t>
  </si>
  <si>
    <t>The Interface</t>
  </si>
  <si>
    <t>https://www.accessengineeringlibrary.com/content/video/V4768134745001</t>
  </si>
  <si>
    <t>Using a Digital Caliper</t>
  </si>
  <si>
    <t>https://www.accessengineeringlibrary.com/content/video/V4768134746001</t>
  </si>
  <si>
    <t>Analyze 3D-Printing Suitability in Meshmixer</t>
  </si>
  <si>
    <t>https://www.accessengineeringlibrary.com/content/video/V4768153294001</t>
  </si>
  <si>
    <t>Circle and Rotate</t>
  </si>
  <si>
    <t>https://www.accessengineeringlibrary.com/content/video/V4768153295001</t>
  </si>
  <si>
    <t>CNC Cutting out Letters</t>
  </si>
  <si>
    <t>https://www.accessengineeringlibrary.com/content/video/V4768153296001</t>
  </si>
  <si>
    <t>Inferences</t>
  </si>
  <si>
    <t>https://www.accessengineeringlibrary.com/content/video/V4768153298001</t>
  </si>
  <si>
    <t>10% Infill and a Bridge</t>
  </si>
  <si>
    <t>https://www.accessengineeringlibrary.com/content/video/V4768153299001</t>
  </si>
  <si>
    <t>Shape Bender Extension</t>
  </si>
  <si>
    <t>https://www.accessengineeringlibrary.com/content/video/V4768153300001</t>
  </si>
  <si>
    <t>Extension Warehouse</t>
  </si>
  <si>
    <t>https://www.accessengineeringlibrary.com/content/video/V4768180275001</t>
  </si>
  <si>
    <t>Pacman Ghost</t>
  </si>
  <si>
    <t>https://www.accessengineeringlibrary.com/content/video/V4768180276001</t>
  </si>
  <si>
    <t>Snap and Lock to the Axes</t>
  </si>
  <si>
    <t>https://www.accessengineeringlibrary.com/content/video/V4768180279001</t>
  </si>
  <si>
    <t>Component Window in Double-Face Wall</t>
  </si>
  <si>
    <t>https://www.accessengineeringlibrary.com/content/video/V4768289487001</t>
  </si>
  <si>
    <t>Dynamic Components</t>
  </si>
  <si>
    <t>https://www.accessengineeringlibrary.com/content/video/V4768289489001</t>
  </si>
  <si>
    <t>Fake Fingernail</t>
  </si>
  <si>
    <t>https://www.accessengineeringlibrary.com/content/video/V4768289490001</t>
  </si>
  <si>
    <t>Layers and the Outliner</t>
  </si>
  <si>
    <t>https://www.accessengineeringlibrary.com/content/video/V4768289493001</t>
  </si>
  <si>
    <t>Manage Stickiness with Groups</t>
  </si>
  <si>
    <t>https://www.accessengineeringlibrary.com/content/video/V4768289495001</t>
  </si>
  <si>
    <t>Select Geometry</t>
  </si>
  <si>
    <t>https://www.accessengineeringlibrary.com/content/video/V4768289496001</t>
  </si>
  <si>
    <t>SketchUp Icon</t>
  </si>
  <si>
    <t>https://www.accessengineeringlibrary.com/content/video/V4768289497001</t>
  </si>
  <si>
    <t>Stairs and Handrail</t>
  </si>
  <si>
    <t>https://www.accessengineeringlibrary.com/content/video/V4768289500001</t>
  </si>
  <si>
    <t>Torus</t>
  </si>
  <si>
    <t>https://www.accessengineeringlibrary.com/content/video/V4768289503001</t>
  </si>
  <si>
    <t>2015 International Building Code Illustrated Handbook: High-piled Combustible Storage Â§413, Â§903.2.7.1</t>
  </si>
  <si>
    <t>2015 International Building Code| Illustrated Handbook</t>
  </si>
  <si>
    <t>Kevin Scott</t>
  </si>
  <si>
    <t>Fire safety | International building code | Fire codes | International fire code | Code requirements | Building codes</t>
  </si>
  <si>
    <t>https://www.accessengineeringlibrary.com/content/video/V4810655019001</t>
  </si>
  <si>
    <t>2015 International Building Code Illustrated Handbook: Application Example 508-3 Nonseparated Occupancies</t>
  </si>
  <si>
    <t>Andrew Klein</t>
  </si>
  <si>
    <t>International building code | Occupancy classification | Fire protection | Code requirements | Area allowance | Occupant load</t>
  </si>
  <si>
    <t>https://www.accessengineeringlibrary.com/content/video/V4810674913001</t>
  </si>
  <si>
    <t>2015 International Building Code Illustrated Handbook: Fire Alarms and Fire Sprinkler Systems Â§907.2</t>
  </si>
  <si>
    <t>Fire alarms | Sprinkler systems | Fire sprinklers | International building code | Alarm systems | Fire protection</t>
  </si>
  <si>
    <t>https://www.accessengineeringlibrary.com/content/video/V4810674916001</t>
  </si>
  <si>
    <t>2015 International Building Code Illustrated Handbook: Standpipe Systems Â§905.3</t>
  </si>
  <si>
    <t>International building code | Code requirements | Fire safety | Sprinkler systems | Fire sprinklers | Stairs</t>
  </si>
  <si>
    <t>https://www.accessengineeringlibrary.com/content/video/V4810674917001</t>
  </si>
  <si>
    <t>2015 International Building Code Illustrated Handbook: Calculated Fire-resistance Â§722</t>
  </si>
  <si>
    <t>International building code | Fire resistance | Fire resistance rating | Wall sections | Walls | Gypsum wallboard</t>
  </si>
  <si>
    <t>https://www.accessengineeringlibrary.com/content/video/V4810699110001</t>
  </si>
  <si>
    <t>2015 International Building Code Illustrated Handbook: Control Areas Â§307.1, Â§414.2.1</t>
  </si>
  <si>
    <t>International building code | Area allowance | Occupancy classification | Sprinkler systems | Fire resistant construction | Fire resistance rating</t>
  </si>
  <si>
    <t>https://www.accessengineeringlibrary.com/content/video/V4810699111001</t>
  </si>
  <si>
    <t>2015 International Building Code Illustrated Handbook: Egress Requirements Â§1029</t>
  </si>
  <si>
    <t>International building code | Code requirements | Occupant load | Doors | Communication systems</t>
  </si>
  <si>
    <t>Civil engineering | Electrical engineering</t>
  </si>
  <si>
    <t>https://www.accessengineeringlibrary.com/content/video/V4810699112001</t>
  </si>
  <si>
    <t>2015 International Building Code Illustrated Handbook: Application Example 1005-4 Egress Width Distribution</t>
  </si>
  <si>
    <t>International building code | Occupant load | Doors | Construction permits | Communication systems | Sprinkler systems</t>
  </si>
  <si>
    <t>Civil engineering | Electrical engineering | Industrial engineering</t>
  </si>
  <si>
    <t>https://www.accessengineeringlibrary.com/content/video/V4810699113001</t>
  </si>
  <si>
    <t>2015 International Building Code Illustrated Handbook: Application Example 2902-1 Minimum Required Plumbing Fixtures</t>
  </si>
  <si>
    <t>Plumbing fixtures | International building code | Occupant load | Building codes | Code requirements | Resultant number</t>
  </si>
  <si>
    <t>https://www.accessengineeringlibrary.com/content/video/V4810699114001</t>
  </si>
  <si>
    <t>2015 International Building Code Illustrated Handbook: Exempt Sprinkler Locations Â§903.3.1.1.1, Â§904.2.1</t>
  </si>
  <si>
    <t>International building code | Sprinkler systems | Fire sprinklers | Fire detection | Hazards | Water valves</t>
  </si>
  <si>
    <t>Civil engineering | Industrial engineering | Chemical engineering | Mechanical engineering</t>
  </si>
  <si>
    <t>https://www.accessengineeringlibrary.com/content/video/V4810703448001</t>
  </si>
  <si>
    <t>2015 International Building Code Illustrated Handbook: Hazardous Materials - Storage vs Use Â§202, Table 307.1(1)</t>
  </si>
  <si>
    <t>International building code | Area allowance | Corrosion | Hazards | Gases | Continuous systems</t>
  </si>
  <si>
    <t>Civil engineering | Materials engineering | Sciences | Industrial engineering</t>
  </si>
  <si>
    <t>https://www.accessengineeringlibrary.com/content/video/V4810703449001</t>
  </si>
  <si>
    <t>2015 International Building Code Illustrated Handbook: Fire Service Access Elevators Â§403.6.1, Â§3007</t>
  </si>
  <si>
    <t>Elevators | International fire code | International building code | Tall buildings | Fire | Design requirements</t>
  </si>
  <si>
    <t>Civil engineering | Industrial engineering | Mechanical engineering | Chemical engineering | Sciences</t>
  </si>
  <si>
    <t>https://www.accessengineeringlibrary.com/content/video/V4810703451001</t>
  </si>
  <si>
    <t>2015 International Building Code Illustrated Handbook: Application Example 901-2 Fire Area</t>
  </si>
  <si>
    <t>International fire code | International building code | Fire barriers | Fire separation distance | Fire sprinklers | Fire resistance rating</t>
  </si>
  <si>
    <t>https://www.accessengineeringlibrary.com/content/video/V4810703454001</t>
  </si>
  <si>
    <t>2015 International Building Code Illustrated Handbook: Application Example 307-1 Maximum Allowable Quantity per Control Area</t>
  </si>
  <si>
    <t>International building code | Area allowance | Occupancy classification | Code requirements | Chemical hazards | Chemical storage</t>
  </si>
  <si>
    <t>Civil engineering | Industrial engineering | Chemical engineering</t>
  </si>
  <si>
    <t>https://www.accessengineeringlibrary.com/content/video/V4810703455001</t>
  </si>
  <si>
    <t>2015 International Building Code Illustrated Handbook: Application Example 705-1 Exterior Openings</t>
  </si>
  <si>
    <t>International building code | Exterior walls | Fire separation distance | Fire protection | Occupancy classification | Construction types</t>
  </si>
  <si>
    <t>https://www.accessengineeringlibrary.com/content/video/V4810703456001</t>
  </si>
  <si>
    <t>Problem 6-14 Design of a Coagulation Rapid Mix System</t>
  </si>
  <si>
    <t>Water and Wastewater Engineering: Design Principles and Practice|Water and Wastewater Engineering: Design Principles and Practice, Second Edition</t>
  </si>
  <si>
    <t>9780071713849|9781260132274</t>
  </si>
  <si>
    <t>James Stone</t>
  </si>
  <si>
    <t>Coagulation mixing | Wastewater engineering | Wastewater | Process design | Impellers | Water tanks</t>
  </si>
  <si>
    <t>Environmental engineering | Industrial engineering | Chemical engineering | Civil engineering | Mechanical engineering | Electrical engineering | Energy engineering</t>
  </si>
  <si>
    <t>https://www.accessengineeringlibrary.com/content/video/V5529304967001</t>
  </si>
  <si>
    <t>Problem 12-5 Membrane Filter Design</t>
  </si>
  <si>
    <t>Wastewater engineering | Wastewater | Viscosity | Flow rate | Water viscosity | Viscous flow</t>
  </si>
  <si>
    <t>Environmental engineering | Chemical engineering | Civil engineering | Mechanical engineering</t>
  </si>
  <si>
    <t>https://www.accessengineeringlibrary.com/content/video/V5529304968001</t>
  </si>
  <si>
    <t>Problem 10-12 Sedimentation Tank Sizing</t>
  </si>
  <si>
    <t>Clarifiers | Wastewater engineering | Wastewater | Overflow rate | Sedimentation basins | Flow rate</t>
  </si>
  <si>
    <t>https://www.accessengineeringlibrary.com/content/video/V5529315848001</t>
  </si>
  <si>
    <t>Problem 9-3 Reverse Osmosis Pressure Differential Calculation</t>
  </si>
  <si>
    <t>Reverse osmosis | Differential pressure | Wastewater engineering | Wastewater | Potable water | Pressurized systems</t>
  </si>
  <si>
    <t>Environmental engineering | Chemical engineering | Civil engineering | Mechanical engineering | Energy engineering | Sciences</t>
  </si>
  <si>
    <t>https://www.accessengineeringlibrary.com/content/video/V5529315851001</t>
  </si>
  <si>
    <t>Problem 9-10 Determination of Permeate Recovery Rate for Membrane Filtration</t>
  </si>
  <si>
    <t>Membrane filtration | Wastewater engineering | Wastewater | Salts | Water softening | Solubility</t>
  </si>
  <si>
    <t>Environmental engineering | Chemical engineering | Sciences</t>
  </si>
  <si>
    <t>https://www.accessengineeringlibrary.com/content/video/V5529318689001</t>
  </si>
  <si>
    <t>Problem 6-6 Alkalinity Consumption</t>
  </si>
  <si>
    <t>Alkalinity | Wastewater engineering | Wastewater | Water quality | Molecular weights | Water treatment</t>
  </si>
  <si>
    <t>Materials engineering | Sciences | Environmental engineering | Civil engineering</t>
  </si>
  <si>
    <t>https://www.accessengineeringlibrary.com/content/video/V5529318690001</t>
  </si>
  <si>
    <t>Problem 7-19 Determination of Lime and Soda Ash Dose for Water Softening</t>
  </si>
  <si>
    <t>Water softening | Lime soda softening | Wastewater engineering | Wastewater | Water treatment | Water hardness</t>
  </si>
  <si>
    <t>https://www.accessengineeringlibrary.com/content/video/V5529318692001</t>
  </si>
  <si>
    <t>Problem 8-8 Design of Ion Exchange Column System for Water Softening</t>
  </si>
  <si>
    <t>Water supply | Water softening | Wastewater engineering | Wastewater | Column design | Ion exchange resins</t>
  </si>
  <si>
    <t>Civil engineering | Energy engineering | Environmental engineering | Sciences</t>
  </si>
  <si>
    <t>https://www.accessengineeringlibrary.com/content/video/V5529322796001</t>
  </si>
  <si>
    <t>Problem 8-2 Sizing of Ion Exchange Columns for Water Softening</t>
  </si>
  <si>
    <t>Water softening | Wastewater engineering | Wastewater | Water hardness | Water supply | Mass balance</t>
  </si>
  <si>
    <t>Environmental engineering | Civil engineering | Energy engineering | Sciences | Chemical engineering</t>
  </si>
  <si>
    <t>https://www.accessengineeringlibrary.com/content/video/V5529322797001</t>
  </si>
  <si>
    <t>Problem 11-5 Sand Filtration Sieve Analysis Confirmation</t>
  </si>
  <si>
    <t>Sand | Sieve analysis | Wastewater engineering | Wastewater | Particle size | Mass</t>
  </si>
  <si>
    <t>Civil engineering | Sciences | Materials engineering | Environmental engineering</t>
  </si>
  <si>
    <t>https://www.accessengineeringlibrary.com/content/video/V5529322798001</t>
  </si>
  <si>
    <t>Problem 7-11 Development of a Bar Chart for Water Softening</t>
  </si>
  <si>
    <t>Water softening | Wastewater engineering | Wastewater | Water hardness | Equivalent weights | Sulfates</t>
  </si>
  <si>
    <t>Environmental engineering | Sciences | Chemical engineering</t>
  </si>
  <si>
    <t>https://www.accessengineeringlibrary.com/content/video/V5529327013001</t>
  </si>
  <si>
    <t>Problem 6-8 Design of Chemical Feed Pump for Water Treatment Coagulation</t>
  </si>
  <si>
    <t>Water pumps | Coagulation | Chemical process design | Wastewater engineering | Wastewater | Chemical processes</t>
  </si>
  <si>
    <t>Chemical engineering | Civil engineering | Mechanical engineering | Environmental engineering</t>
  </si>
  <si>
    <t>https://www.accessengineeringlibrary.com/content/video/V5529327014001</t>
  </si>
  <si>
    <t>Problem 8-1 Sizing of Ion Exchange Column</t>
  </si>
  <si>
    <t>Wastewater engineering | Wastewater | Ion exchange resins | Water treatment | Water absorption</t>
  </si>
  <si>
    <t>Environmental engineering | Sciences</t>
  </si>
  <si>
    <t>https://www.accessengineeringlibrary.com/content/video/V5529327016001</t>
  </si>
  <si>
    <t>Example 6.2 Alkalinity Consumption</t>
  </si>
  <si>
    <t>Alkalinity | Wastewater engineering | Wastewater | Coagulation | Water supply | Sulfates</t>
  </si>
  <si>
    <t>Materials engineering | Sciences | Environmental engineering | Civil engineering | Energy engineering | Chemical engineering</t>
  </si>
  <si>
    <t>https://www.accessengineeringlibrary.com/content/video/V5529327017001</t>
  </si>
  <si>
    <t>Problem 11-4 Design Characteristics for Monomedia Filter</t>
  </si>
  <si>
    <t>Wastewater engineering | Wastewater | Design load | Process design | Load flow | Flow rate</t>
  </si>
  <si>
    <t>Environmental engineering | Civil engineering | Mechanical engineering | Industrial engineering | Electrical engineering | Energy engineering | Chemical engineering</t>
  </si>
  <si>
    <t>https://www.accessengineeringlibrary.com/content/video/V5534141214001</t>
  </si>
  <si>
    <t>Automatic Control Systems Problem 6-6: State equations for a Linear Translational System</t>
  </si>
  <si>
    <t>Automatic Control Systems, Tenth Edition</t>
  </si>
  <si>
    <t>Linear equations | Control systems | Linear systems | Derivatives | Differential equations | Algebra</t>
  </si>
  <si>
    <t>https://www.accessengineeringlibrary.com/content/video/V5654114801001</t>
  </si>
  <si>
    <t>Automatic Control Systems Problem 10-5: Bandwidth, Resonant Frequency and Resonance Peak</t>
  </si>
  <si>
    <t>Bandwidth | Control systems | Resonant frequency | Resonance | Resonant peak | Forward path transfer function</t>
  </si>
  <si>
    <t>Electrical engineering | Mechanical engineering | Civil engineering</t>
  </si>
  <si>
    <t>https://www.accessengineeringlibrary.com/content/video/V5654122193001</t>
  </si>
  <si>
    <t>Automatic Control Systems Problem 10-37: Phase and Gain Margin</t>
  </si>
  <si>
    <t>Gain margin | Phase margin | Control systems | Phase crossover | Gain crossover | Bode plots</t>
  </si>
  <si>
    <t>https://www.accessengineeringlibrary.com/content/video/V5654128634001</t>
  </si>
  <si>
    <t>Automatic Control Systems Problem 11-34: PID controller Design</t>
  </si>
  <si>
    <t>Control systems | PID controllers | Control system design | Steady state error | Maximum overshoot | PD controllers</t>
  </si>
  <si>
    <t>https://www.accessengineeringlibrary.com/content/video/V5654128635001</t>
  </si>
  <si>
    <t>Automatic Control Systems Problem 9-20: Root-Locus Analysis</t>
  </si>
  <si>
    <t>Control systems | Systems analysis | Root locus method | Block diagrams | Matlab | Zeros of a transfer function</t>
  </si>
  <si>
    <t>Electrical engineering | Mechanical engineering | Industrial engineering | Mathematics</t>
  </si>
  <si>
    <t>https://www.accessengineeringlibrary.com/content/video/V5654128637001</t>
  </si>
  <si>
    <t>Automatic Control Systems Problem 2-29: Modeling of an Electrical System</t>
  </si>
  <si>
    <t>Control systems | Electric power systems | RLC circuits | Voltage measurement | Kirchhoff's current law | Voltage sources</t>
  </si>
  <si>
    <t>Electrical engineering | Mechanical engineering | Energy engineering | Sciences</t>
  </si>
  <si>
    <t>https://www.accessengineeringlibrary.com/content/video/V5654130217001</t>
  </si>
  <si>
    <t>Automatic Control Systems Problem 6-19: Transfer Functions and Block Diagrams</t>
  </si>
  <si>
    <t>Control systems | Transfer functions | Block diagrams | Motor speed control | Operational amplifiers | Electronic filters</t>
  </si>
  <si>
    <t>Electrical engineering | Mechanical engineering | Mathematics | Energy engineering</t>
  </si>
  <si>
    <t>https://www.accessengineeringlibrary.com/content/video/V5654130218001</t>
  </si>
  <si>
    <t>Automatic Control Systems Problem 8-63: State-variable Feedback Controller Design</t>
  </si>
  <si>
    <t>Control systems | Nichols charts | Control system design | Poles of a transfer function | Characteristic equation | Gain control</t>
  </si>
  <si>
    <t>https://www.accessengineeringlibrary.com/content/video/V5654131890001</t>
  </si>
  <si>
    <t>Automatic Control Systems Problem 7-16: Steady-state Error</t>
  </si>
  <si>
    <t>Control systems | Steady state error | Parabolas | Algebra | Step function | Routh criterion</t>
  </si>
  <si>
    <t>https://www.accessengineeringlibrary.com/content/video/V5654131891001</t>
  </si>
  <si>
    <t>Automatic Control Systems Problem 5-11: Stability of a Control System</t>
  </si>
  <si>
    <t>Control systems | System stability | Characteristic equation | Stable system | Routh criterion | State feedback</t>
  </si>
  <si>
    <t>https://www.accessengineeringlibrary.com/content/video/V5654136409001</t>
  </si>
  <si>
    <t>Automatic Control Systems Problem 4-12: Block Diagrams and Transfer Functions</t>
  </si>
  <si>
    <t>Control systems | Transfer functions | Block diagrams | Step function | Laplace transform | Fluid flow control</t>
  </si>
  <si>
    <t>https://www.accessengineeringlibrary.com/content/video/V5654136873001</t>
  </si>
  <si>
    <t>Automatic Control Systems Problem 4-27: Signal Flow Graphs and Transfer Functions</t>
  </si>
  <si>
    <t>Control systems | Signal flow graphs | Transfer functions | Signal flow | Closed loop transfer function</t>
  </si>
  <si>
    <t>https://www.accessengineeringlibrary.com/content/video/V5654136874001</t>
  </si>
  <si>
    <t>Automatic Control Systems Problem 9-28: Root-Locus Analysis</t>
  </si>
  <si>
    <t>Control systems | Systems analysis | Root locus method | Transfer functions | Routh criterion | Zeros of a transfer function</t>
  </si>
  <si>
    <t>https://www.accessengineeringlibrary.com/content/video/V5654136875001</t>
  </si>
  <si>
    <t>Automatic Control Systems Problem 8-67: State Equations, Controllability and Observability</t>
  </si>
  <si>
    <t>Control systems | Automatic control | RLC circuits | Voltage | Capacitors | Inductors</t>
  </si>
  <si>
    <t>https://www.accessengineeringlibrary.com/content/video/V5654137501001</t>
  </si>
  <si>
    <t>Automatic Control Systems Problem 11-50: Lead Controller Design</t>
  </si>
  <si>
    <t>Control systems | Control system design | Block diagrams | Steady state error | Phase margin | Settling time</t>
  </si>
  <si>
    <t>https://www.accessengineeringlibrary.com/content/video/V5654139508001</t>
  </si>
  <si>
    <t>Automatic Control Systems Problem 3-36: State Space of an Electrical System</t>
  </si>
  <si>
    <t>Control systems | Electric power systems | Capacitors | Kirchhoff's current law | Resistors | Voltage</t>
  </si>
  <si>
    <t>https://www.accessengineeringlibrary.com/content/video/V5654139509001</t>
  </si>
  <si>
    <t>Automatic Control Systems Problem 3-34: State Space of a Mechanical System</t>
  </si>
  <si>
    <t>Control systems | Mass | Mechanical springs | Harmonic vibration | Molar mass | Harmonics</t>
  </si>
  <si>
    <t>Electrical engineering | Mechanical engineering | Sciences | Civil engineering</t>
  </si>
  <si>
    <t>https://www.accessengineeringlibrary.com/content/video/V5654141310001</t>
  </si>
  <si>
    <t>Automatic Control Systems Problem 2-25: Modeling of a Mechanical System</t>
  </si>
  <si>
    <t>Control systems | Equations of motion | Dynamics of solids | Voltage | Mass | Voltage measurement</t>
  </si>
  <si>
    <t>Electrical engineering | Mechanical engineering | Mathematics | Civil engineering | Sciences | Energy engineering</t>
  </si>
  <si>
    <t>https://www.accessengineeringlibrary.com/content/video/V5660240583001</t>
  </si>
  <si>
    <t>Automatic Control Systems Problem 7-56: PD Controller Design</t>
  </si>
  <si>
    <t>Control systems | PD controllers | Control system design | Steady state error | Settling time | Oscillation</t>
  </si>
  <si>
    <t>Electrical engineering | Mechanical engineering | Chemical engineering | Civil engineering | Sciences</t>
  </si>
  <si>
    <t>https://www.accessengineeringlibrary.com/content/video/V5660252750001</t>
  </si>
  <si>
    <t>Automatic Control Systems Problem 7-34: Rise Time and Settling Time</t>
  </si>
  <si>
    <t>Control systems | Settling time | Rise time | Velocity | Natural frequency | Damping ratio</t>
  </si>
  <si>
    <t>Electrical engineering | Mechanical engineering | Civil engineering | Sciences | Mathematics</t>
  </si>
  <si>
    <t>https://www.accessengineeringlibrary.com/content/video/V5660256143001</t>
  </si>
  <si>
    <t>Automatic Control Systems Problem 5-14: Routh-Hurwitz Criterion</t>
  </si>
  <si>
    <t>Control systems | Routh criterion | Feedback control systems | Characteristic equation | Loop transfer function | Closed loop transfer function</t>
  </si>
  <si>
    <t>https://www.accessengineeringlibrary.com/content/video/V5660256145001</t>
  </si>
  <si>
    <t>Asphalt Paving</t>
  </si>
  <si>
    <t>Construction Planning, Equipment, and Methods, Ninth Edition|Construction Planning, Equipment, and Methods, Tenth Edition</t>
  </si>
  <si>
    <t>9781260108804|9781264278725</t>
  </si>
  <si>
    <t>Robert Schmitt</t>
  </si>
  <si>
    <t>Asphalt paving | Distributor trucks | Compaction equipment | Construction equipment | Pavement | Sweepers</t>
  </si>
  <si>
    <t>https://www.accessengineeringlibrary.com/content/video/V5759220632001</t>
  </si>
  <si>
    <t>Crawler Crane</t>
  </si>
  <si>
    <t>Cranes | Construction equipment | Crane charts | Hoists</t>
  </si>
  <si>
    <t>https://www.accessengineeringlibrary.com/content/video/V5762508271001</t>
  </si>
  <si>
    <t>Asphalt Plant</t>
  </si>
  <si>
    <t>Asphalt production | Asphalt | Construction equipment | Asphalt cement | Asphalt concrete | Drum mix plants</t>
  </si>
  <si>
    <t>https://www.accessengineeringlibrary.com/content/video/V5762520689001</t>
  </si>
  <si>
    <t>Concrete Pumper Truck</t>
  </si>
  <si>
    <t>Concrete pumper | Construction equipment | Pump operation | Pumps | Placing concrete | Pipes</t>
  </si>
  <si>
    <t>https://www.accessengineeringlibrary.com/content/video/V5762521992001</t>
  </si>
  <si>
    <t>Drilling &amp; Blasting</t>
  </si>
  <si>
    <t>Drilling and blasting | Construction equipment | Mining engineering | Earth excavation | Drilling and blasting explosives | Rocks</t>
  </si>
  <si>
    <t>https://www.accessengineeringlibrary.com/content/video/V5762522020001</t>
  </si>
  <si>
    <t>Loaders</t>
  </si>
  <si>
    <t>Loaders | Soils | Construction equipment | Earth excavation | Construction materials | Loads</t>
  </si>
  <si>
    <t>https://www.accessengineeringlibrary.com/content/video/V5762522090001</t>
  </si>
  <si>
    <t>Concrete Paver</t>
  </si>
  <si>
    <t>Concrete paving | Pavement | Construction equipment | Concrete operations | Vibration | Hauling equipment</t>
  </si>
  <si>
    <t>https://www.accessengineeringlibrary.com/content/video/V5762523116001</t>
  </si>
  <si>
    <t>Excavators</t>
  </si>
  <si>
    <t>Excavators | Soils | Construction equipment | Diggings | Earth excavation</t>
  </si>
  <si>
    <t>Civil engineering | Industrial engineering | Mechanical engineering | Sciences</t>
  </si>
  <si>
    <t>https://www.accessengineeringlibrary.com/content/video/V5762523912001</t>
  </si>
  <si>
    <t>Tower Crane</t>
  </si>
  <si>
    <t>Tower cranes | Construction equipment | Cranes | Hoists | Motors | Lattices</t>
  </si>
  <si>
    <t>Civil engineering | Industrial engineering | Mechanical engineering | Electrical engineering | Energy engineering</t>
  </si>
  <si>
    <t>https://www.accessengineeringlibrary.com/content/video/V5762523952001</t>
  </si>
  <si>
    <t>Rock Crusher</t>
  </si>
  <si>
    <t>Crushers | Construction equipment | Concrete bridges | Rocks | Aggregate production | Aggregates</t>
  </si>
  <si>
    <t>https://www.accessengineeringlibrary.com/content/video/V5762529489001</t>
  </si>
  <si>
    <t>Trimmer</t>
  </si>
  <si>
    <t>Trimmers | Construction equipment | Railways | Conveyor belts | Pulleys | Pavement</t>
  </si>
  <si>
    <t>https://www.accessengineeringlibrary.com/content/video/V5762531196001</t>
  </si>
  <si>
    <t>Trucks</t>
  </si>
  <si>
    <t>Hauling equipment | Loaders | Construction equipment | Rigid frame rear dump trucks | Side dump trucks | Bottom dump trucks | Dump trucks</t>
  </si>
  <si>
    <t>https://www.accessengineeringlibrary.com/content/video/V5762531782001</t>
  </si>
  <si>
    <t>Second Order Systems: Resonance in Underdamped Systems</t>
  </si>
  <si>
    <t>Diane Peters</t>
  </si>
  <si>
    <t>Resonance | Underdamped system | Second order systems | Natural frequency | Frequency response | Sine</t>
  </si>
  <si>
    <t>Civil engineering | Mechanical engineering | Electrical engineering | Mathematics | Sciences</t>
  </si>
  <si>
    <t>https://www.accessengineeringlibrary.com/content/video/V6089736577001</t>
  </si>
  <si>
    <t>Second Order Systems: Beating in Undamped Systems</t>
  </si>
  <si>
    <t>Second order systems | Natural frequency | Sine | Frequency response | Cosine | Oscillation</t>
  </si>
  <si>
    <t>Civil engineering | Electrical engineering | Mathematics | Mechanical engineering | Sciences</t>
  </si>
  <si>
    <t>https://www.accessengineeringlibrary.com/content/video/V6089737880001</t>
  </si>
  <si>
    <t>Second Order Systems: Damping and Natural Frequency</t>
  </si>
  <si>
    <t>Second order systems | Natural frequency | Damped frequency | Critical damping | Eigenvalues | Oscillation</t>
  </si>
  <si>
    <t>https://www.accessengineeringlibrary.com/content/video/V6089739849001</t>
  </si>
  <si>
    <t>Second Order Systems: Calculating Key Parameters</t>
  </si>
  <si>
    <t>Second order systems | Settling time | Natural frequency | Damping ratio | Damped frequency | Underdamped system</t>
  </si>
  <si>
    <t>https://www.accessengineeringlibrary.com/content/video/V6089741333001</t>
  </si>
  <si>
    <t>First Order Systems: Understanding Key Parameters</t>
  </si>
  <si>
    <t>First order systems | Time constant | Torque | Differential equations | Electricity | Steady state response</t>
  </si>
  <si>
    <t>https://www.accessengineeringlibrary.com/content/video/V6089742598001</t>
  </si>
  <si>
    <t>Second Order Undamped Systems: Understanding Key Parameters</t>
  </si>
  <si>
    <t>Natural frequency | Amplitude | Mass | System of equations | Cosine | Second order systems</t>
  </si>
  <si>
    <t>Civil engineering | Mechanical engineering | Sciences | Electrical engineering | Mathematics</t>
  </si>
  <si>
    <t>https://www.accessengineeringlibrary.com/content/video/V6089744601001</t>
  </si>
  <si>
    <t>Schaum's Statistics Supplementary Problem 3.76: Mean, Median, and Mode</t>
  </si>
  <si>
    <t>Schaum's Outline of Statistics, Sixth Edition</t>
  </si>
  <si>
    <t>Median | Statistics | Mode | Mean</t>
  </si>
  <si>
    <t>https://www.accessengineeringlibrary.com/content/video/V6126307911001</t>
  </si>
  <si>
    <t>Schaum's Statistics Supplementary Problem 5.16: Moments about the Mean</t>
  </si>
  <si>
    <t>Statistics | Mean</t>
  </si>
  <si>
    <t>https://www.accessengineeringlibrary.com/content/video/V6126355651001</t>
  </si>
  <si>
    <t>Schaum's Statistics Supplementary Problem 17.34: Nonparametric Test, Mann-Whitney U-Test for Difference of Two Population Means</t>
  </si>
  <si>
    <t>Statistics | Mean | Hypothesis testing | Statistical values | Probability | Variance</t>
  </si>
  <si>
    <t>https://www.accessengineeringlibrary.com/content/video/V6126356674001</t>
  </si>
  <si>
    <t>Schaum's Statistics Supplementary Problem 8.26: Sampling Distribution of Means</t>
  </si>
  <si>
    <t>Mean | Statistics | Normal distribution | Probability events | Probability | Standard deviation</t>
  </si>
  <si>
    <t>https://www.accessengineeringlibrary.com/content/video/V6126356723001</t>
  </si>
  <si>
    <t>Schaum's Signals and Systems Problem 1.1: Continous-time Signal Transformations using MATLAB</t>
  </si>
  <si>
    <t>Schaum's Outline of Signals and Systems, Fourth Edition</t>
  </si>
  <si>
    <t>Signals and systems | Matlab | Signal compression | Slate | Signal analysis</t>
  </si>
  <si>
    <t>Electrical engineering | Mathematics | Civil engineering | Sciences</t>
  </si>
  <si>
    <t>https://www.accessengineeringlibrary.com/content/video/V6126356795001</t>
  </si>
  <si>
    <t>Schaum's Statistics Supplementary Problem 16.21: One-Way Classification Using Analysis of Variance</t>
  </si>
  <si>
    <t>Statistics | Analysis of variance | Mean | F tests | Design of experiments | Statistical values</t>
  </si>
  <si>
    <t>https://www.accessengineeringlibrary.com/content/video/V6126357670001</t>
  </si>
  <si>
    <t>Schaum's Statistics Supplementary Problem 6.59: Mathematical Expectation of Discrete Random Variable</t>
  </si>
  <si>
    <t>Statistics | Discrete random variables | Expectation | Expected value | Random variables | Probability</t>
  </si>
  <si>
    <t>https://www.accessengineeringlibrary.com/content/video/V6126357768001</t>
  </si>
  <si>
    <t>Schaum's Statistics Supplementary Problem 10.41: p-Values for Hypothesis Tests</t>
  </si>
  <si>
    <t>Statistics | Hypothesis testing | Standard deviation | Normal distribution | Mean | Probability</t>
  </si>
  <si>
    <t>https://www.accessengineeringlibrary.com/content/video/V6126357776001</t>
  </si>
  <si>
    <t>Schaum's Statistics Supplementary Problem 15.29: Least-Squares Regression Equation Involving Three Variables</t>
  </si>
  <si>
    <t>Statistics | Regression analysis | Correlation</t>
  </si>
  <si>
    <t>https://www.accessengineeringlibrary.com/content/video/V6126357792001</t>
  </si>
  <si>
    <t>Schaum's Statistics Supplementary Problem 8.40: Sampling Distribution of Differences of Means</t>
  </si>
  <si>
    <t>Mean | Statistics | Normal distribution | Standard deviation | Probability | Random variables</t>
  </si>
  <si>
    <t>https://www.accessengineeringlibrary.com/content/video/V6126358290001</t>
  </si>
  <si>
    <t>Schaum's Statistics Supplementary Problem 4.43: Mean Deviation</t>
  </si>
  <si>
    <t>Mean | Statistics | Median | Mode</t>
  </si>
  <si>
    <t>https://www.accessengineeringlibrary.com/content/video/V6126358640001</t>
  </si>
  <si>
    <t>Schaum's Statistics Supplementary Problem 7.50: Normal Distribution and Standard Scores</t>
  </si>
  <si>
    <t>Statistics | Normal distribution | Random variables | Standard deviation | Mean</t>
  </si>
  <si>
    <t>https://www.accessengineeringlibrary.com/content/video/V6126358677001</t>
  </si>
  <si>
    <t>Schaum's Statistics Supplementary Problem 9.31: Confidence Interval for a Proportion</t>
  </si>
  <si>
    <t>Statistics | Confidence intervals</t>
  </si>
  <si>
    <t>https://www.accessengineeringlibrary.com/content/video/V6126358685001</t>
  </si>
  <si>
    <t>Schaum's Statistics Supplementary Problem 10.36: Hypothesis Test for Mean of Population</t>
  </si>
  <si>
    <t>Statistics | Hypothesis testing | Mean | Standard deviation | Normal distribution | Statistical values</t>
  </si>
  <si>
    <t>https://www.accessengineeringlibrary.com/content/video/V6126358686001</t>
  </si>
  <si>
    <t>Schaum's Statistics Supplementary Problem 11.52: Hypothesis Test for Difference of Two Population Variances</t>
  </si>
  <si>
    <t>Statistics | Variance | Hypothesis testing | F distribution | F tests</t>
  </si>
  <si>
    <t>https://www.accessengineeringlibrary.com/content/video/V6126358688001</t>
  </si>
  <si>
    <t>Schaum's Statistics Supplementary Problem 7.40: Binomial Distribution</t>
  </si>
  <si>
    <t>Binomial distributions | Statistics | Random variables | Expected value | Probability | Mean</t>
  </si>
  <si>
    <t>https://www.accessengineeringlibrary.com/content/video/V6126359203001</t>
  </si>
  <si>
    <t>Schaum's Statistics Supplementary Problem 8.34: Sampling Distribution of Proportions</t>
  </si>
  <si>
    <t>Statistics | Normal distribution | Probability | Standard deviation | Mean | Random variables</t>
  </si>
  <si>
    <t>https://www.accessengineeringlibrary.com/content/video/V6126359212001</t>
  </si>
  <si>
    <t>Schaum's Signals and Systems Problem 5.10a: Using MATLAB to find the continuous-time Fourier series coefficients</t>
  </si>
  <si>
    <t>Fourier series | Signals and systems | Fourier coefficients | Matlab | Harmonics | Workspaces</t>
  </si>
  <si>
    <t>Mathematics | Electrical engineering | Civil engineering | Mechanical engineering | Business skills</t>
  </si>
  <si>
    <t>https://www.accessengineeringlibrary.com/content/video/V6126359823001</t>
  </si>
  <si>
    <t>Schaum's Statistics Supplementary Problem 6.53: Probability Distribution of Continuous Random Variable</t>
  </si>
  <si>
    <t>Statistics | Continuous random variables | Probability distributions | Probability density function | Random variables | Probability concepts</t>
  </si>
  <si>
    <t>https://www.accessengineeringlibrary.com/content/video/V6126360142001</t>
  </si>
  <si>
    <t>Schaum's Statistics Supplementary Problem 9.33: Confidence Interval for the Difference of Means</t>
  </si>
  <si>
    <t>Mean | Statistics | Confidence intervals | Standard deviation | Variance</t>
  </si>
  <si>
    <t>https://www.accessengineeringlibrary.com/content/video/V6126360158001</t>
  </si>
  <si>
    <t>Schaum's Statistics Supplementary Problem 13.32: Least-Squares Line</t>
  </si>
  <si>
    <t>Statistics | Regression analysis | System of equations | Method of least squares</t>
  </si>
  <si>
    <t>https://www.accessengineeringlibrary.com/content/video/V6126360187001</t>
  </si>
  <si>
    <t>Schaum's Statistics Supplementary Problem 14.47: Correlation Coefficient</t>
  </si>
  <si>
    <t>Statistics | Correlation | Mean</t>
  </si>
  <si>
    <t>https://www.accessengineeringlibrary.com/content/video/V6126360188001</t>
  </si>
  <si>
    <t>Schaum's Statistics Supplementary Problem 10.49: Hypothesis Tests for Difference of Population Means</t>
  </si>
  <si>
    <t>Statistics | Hypothesis testing | Mean | Standard deviation | Normal distribution</t>
  </si>
  <si>
    <t>https://www.accessengineeringlibrary.com/content/video/V6126360839001</t>
  </si>
  <si>
    <t>Schaum's Statistics Supplementary Problem 11.30: t-Test for Population Mean</t>
  </si>
  <si>
    <t>Statistics | Mean | Standard deviation | Hypothesis testing | Statistical values | T tests</t>
  </si>
  <si>
    <t>https://www.accessengineeringlibrary.com/content/video/V6126360842001</t>
  </si>
  <si>
    <t>Schaum's Statistics Supplementary Problem 11.41: Confidence Interval for Population Standard Deviation</t>
  </si>
  <si>
    <t>Statistics | Standard deviation | Confidence intervals | Chi-squared distribution</t>
  </si>
  <si>
    <t>https://www.accessengineeringlibrary.com/content/video/V6126360844001</t>
  </si>
  <si>
    <t>Schaum's Statistics Supplementary Problem 12.30: Chi-Squared Test for Goodness of Fit</t>
  </si>
  <si>
    <t>Statistics | Goodness-of-fit tests | Hypothesis testing | Expected value | Chi-squared distribution</t>
  </si>
  <si>
    <t>https://www.accessengineeringlibrary.com/content/video/V6126360868001</t>
  </si>
  <si>
    <t>Schaum's Statistics Supplementary Problem 9.25: Confidence Interval for the Mean</t>
  </si>
  <si>
    <t>Mean | Statistics | Confidence intervals | Standard deviation</t>
  </si>
  <si>
    <t>https://www.accessengineeringlibrary.com/content/video/V6126361565001</t>
  </si>
  <si>
    <t>Schaum's Signals and Systems Problem 5.10b: Using MATLAB to find the continuous-time Fourier series approximation</t>
  </si>
  <si>
    <t>Fourier series | Signals and systems | Matlab | Harmonics | Sine | Workspaces</t>
  </si>
  <si>
    <t>https://www.accessengineeringlibrary.com/content/video/V6126362626001</t>
  </si>
  <si>
    <t>Schaum's Signals and Systems Problem 5.69: Finding the inverse Fourier transform of a continuous-time signal in MATLAB</t>
  </si>
  <si>
    <t>Signals and systems | Matlab | Inverse Fourier transforms | Fourier transform | Workspaces | Magnitude phase plot</t>
  </si>
  <si>
    <t>Electrical engineering | Mathematics | Business skills | Mechanical engineering</t>
  </si>
  <si>
    <t>https://www.accessengineeringlibrary.com/content/video/V6126362631001</t>
  </si>
  <si>
    <t>Schaum's Signals and Systems Problem 6.65: Using MATLAB to find the discrete-time Fourier transform</t>
  </si>
  <si>
    <t>Signals and systems | Matlab | Discrete time Fourier transforms | Fourier transform | Discrete time signal processing | z Transform</t>
  </si>
  <si>
    <t>https://www.accessengineeringlibrary.com/content/video/V6126362634001</t>
  </si>
  <si>
    <t>Schaum's Signals and Systems Problem 4.53: Finding inverse z-transforms in MATLAB</t>
  </si>
  <si>
    <t>z Transform | Signals and systems | Matlab | Partial fractions | Convolution</t>
  </si>
  <si>
    <t>https://www.accessengineeringlibrary.com/content/video/V6126363039001</t>
  </si>
  <si>
    <t>Schaum's Signals and Systems Problem 6.62: Using MATLAB to find a discrete-time Fourier series</t>
  </si>
  <si>
    <t>Signals and systems | Fourier series | Matlab | Discrete time signal processing | Cosine | Sine</t>
  </si>
  <si>
    <t>https://www.accessengineeringlibrary.com/content/video/V6126363047001</t>
  </si>
  <si>
    <t>Schaum's Signals and Systems Problem 7.62: Determining discrete-time controllability and observability in MATLAB</t>
  </si>
  <si>
    <t>Signals and systems | Matlab | State space representation | Discrete time systems | Control system controllability | Workspaces</t>
  </si>
  <si>
    <t>Electrical engineering | Mathematics | Mechanical engineering | Business skills</t>
  </si>
  <si>
    <t>https://www.accessengineeringlibrary.com/content/video/V6126363057001</t>
  </si>
  <si>
    <t>Schaum's Signals and Systems Problem 7.74: Determining continuous-time controllability and observability in MATLAB</t>
  </si>
  <si>
    <t>Signals and systems | Matlab | Continuous time systems | State space representation | Control system controllability | Eigenvectors</t>
  </si>
  <si>
    <t>https://www.accessengineeringlibrary.com/content/video/V6126363058001</t>
  </si>
  <si>
    <t>Schaum's Signals and Systems Problem 1.5: Creating even and odd signals using MATLAB</t>
  </si>
  <si>
    <t>Signals and systems | Matlab | Discrete time signal processing | Analog signal processing | Signal analysis | Slate</t>
  </si>
  <si>
    <t>https://www.accessengineeringlibrary.com/content/video/V6126363828001</t>
  </si>
  <si>
    <t>Schaum's Signals and Systems Problem 2.24: Finding the step and impulse response of a differential equation using MATLAB</t>
  </si>
  <si>
    <t>Differential equations | Signals and systems | Matlab | Impulse response | Laplace transform | Step response</t>
  </si>
  <si>
    <t>Mathematics | Electrical engineering | Mechanical engineering | Civil engineering</t>
  </si>
  <si>
    <t>https://www.accessengineeringlibrary.com/content/video/V6126363834001</t>
  </si>
  <si>
    <t>Schaum's Signals and Systems Problem 1.2: Discrete-time signal transformations using MATLAB</t>
  </si>
  <si>
    <t>Signals and systems | Discrete time signal processing | Matlab | Signal compression | Signal analysis</t>
  </si>
  <si>
    <t>https://www.accessengineeringlibrary.com/content/video/V6126365704001</t>
  </si>
  <si>
    <t>Schaum's Signals and Systems Problem 4.41: Finding z-transforms in MATLAB</t>
  </si>
  <si>
    <t>Signals and systems | z Transform | Matlab | Workspaces | Impulse function</t>
  </si>
  <si>
    <t>Electrical engineering | Mechanical engineering | Mathematics | Business skills</t>
  </si>
  <si>
    <t>https://www.accessengineeringlibrary.com/content/video/V6126365868001</t>
  </si>
  <si>
    <t>Schaum's Signals and Systems Problem 1.16gh: Finding periodic discrete-time signals using MATLAB</t>
  </si>
  <si>
    <t>Signals and systems | Discrete time signal processing | Matlab | Cosine | Workspaces</t>
  </si>
  <si>
    <t>Electrical engineering | Mathematics | Business skills</t>
  </si>
  <si>
    <t>https://www.accessengineeringlibrary.com/content/video/V6126366440001</t>
  </si>
  <si>
    <t>Schaum's Signals and Systems Problem 1.20: Finding energy and power signals using MATLAB</t>
  </si>
  <si>
    <t>Signals and systems | Matlab | Signal analysis | Cosine | Analog signal processing | Sequences and series</t>
  </si>
  <si>
    <t>https://www.accessengineeringlibrary.com/content/video/V6126366448001</t>
  </si>
  <si>
    <t>Schaum's Signals and Systems Problem 2.30: Using MATLAB to find the discrete-time convolution</t>
  </si>
  <si>
    <t>Signals and systems | Discrete-time convolution | Matlab | Linear time invariant systems | Impulse response | Convolution</t>
  </si>
  <si>
    <t>https://www.accessengineeringlibrary.com/content/video/V6126366458001</t>
  </si>
  <si>
    <t>Schaum's Signals and Systems Problem 1.16cd: Finding periodic continuous-time signals using MATLAB</t>
  </si>
  <si>
    <t>Signals and systems | Matlab | Sine | Cosine | Workspaces</t>
  </si>
  <si>
    <t>https://www.accessengineeringlibrary.com/content/video/V6126366698001</t>
  </si>
  <si>
    <t>Schaum's Signals and Systems Problem 2.32: Using MATLAB to find the impulse response of a difference equation</t>
  </si>
  <si>
    <t>Signals and systems | Matlab | Recurrence relations | Impulse response | Step response | Discrete time systems</t>
  </si>
  <si>
    <t>Electrical engineering | Mathematics | Computer science | Mechanical engineering | Civil engineering</t>
  </si>
  <si>
    <t>https://www.accessengineeringlibrary.com/content/video/V6126367116001</t>
  </si>
  <si>
    <t>Schaum's Signals and Systems Problem 3.49: Finding inverse Laplace transforms in MATLAB</t>
  </si>
  <si>
    <t>Inverse Laplace transforms | Signals and systems | Matlab | Sine | Partial fractions | Cosine</t>
  </si>
  <si>
    <t>https://www.accessengineeringlibrary.com/content/video/V6126367121001</t>
  </si>
  <si>
    <t>Schaum's Signals and Systems Problem 5.23: Finding the Fourier transform in MATLAB</t>
  </si>
  <si>
    <t>Signals and systems | Matlab | Fourier transform | Inverse Fourier transforms | Impulse function | Cosine</t>
  </si>
  <si>
    <t>https://www.accessengineeringlibrary.com/content/video/V6126367132001</t>
  </si>
  <si>
    <t>Schaum's Signals and Systems Problem 2.5: Finding a convolution in MATLAB</t>
  </si>
  <si>
    <t>Signals and systems | Matlab | Convolution | Continuous-time convolution | Linear time invariant systems | Discrete-time convolution</t>
  </si>
  <si>
    <t>https://www.accessengineeringlibrary.com/content/video/V6126368004001</t>
  </si>
  <si>
    <t>Schaum's Signals and Systems Problem 3.43: Finding Laplace transforms in MATLAB</t>
  </si>
  <si>
    <t>Laplace transform | Signals and systems | Matlab | Sine | Cosine | Workspaces</t>
  </si>
  <si>
    <t>https://www.accessengineeringlibrary.com/content/video/V6126368455001</t>
  </si>
  <si>
    <t>Schaum's Signals and Systems Problem 6.67: Using MATLAB to find the discrete-time inverse Fourier transform</t>
  </si>
  <si>
    <t>Signals and systems | Inverse Fourier transforms | Matlab | Discrete time signal processing | Cosine | Fourier transform</t>
  </si>
  <si>
    <t>https://www.accessengineeringlibrary.com/content/video/V6126368475001</t>
  </si>
  <si>
    <t>Schaum's Precalculus Supplementary Problem 30.12</t>
  </si>
  <si>
    <t>Schaum's Outline of Precalculus, Fourth Edition</t>
  </si>
  <si>
    <t>Linear equations | System of equations | Process time</t>
  </si>
  <si>
    <t>https://www.accessengineeringlibrary.com/content/video/V6129538277001</t>
  </si>
  <si>
    <t>Schaum's Precalculus Supplementary Problem 15.14</t>
  </si>
  <si>
    <t>Rational functions</t>
  </si>
  <si>
    <t>https://www.accessengineeringlibrary.com/content/video/V6129538875001</t>
  </si>
  <si>
    <t>Schaum's Precalculus Supplementary Problem 16.24</t>
  </si>
  <si>
    <t>Mathematical functions | Algebra | Proportions</t>
  </si>
  <si>
    <t>https://www.accessengineeringlibrary.com/content/video/V6129538876001</t>
  </si>
  <si>
    <t>Schaum's Precalculus Supplementary Problem 4.20</t>
  </si>
  <si>
    <t>Fractions | Radicals</t>
  </si>
  <si>
    <t>https://www.accessengineeringlibrary.com/content/video/V6129539807001</t>
  </si>
  <si>
    <t>Schaum's Precalculus Supplementary Problem 14.42</t>
  </si>
  <si>
    <t>https://www.accessengineeringlibrary.com/content/video/V6129541763001</t>
  </si>
  <si>
    <t>Schaum's Precalculus Supplementary Problem 26.30</t>
  </si>
  <si>
    <t>Triangles | Law of cosines | Law of sines | Sine | Cosine</t>
  </si>
  <si>
    <t>https://www.accessengineeringlibrary.com/content/video/V6129541769001</t>
  </si>
  <si>
    <t>Schaum's Precalculus Supplementary Problem 36.20</t>
  </si>
  <si>
    <t>System of equations | Linear systems | Linear equations | Matrices | Coefficient matrices</t>
  </si>
  <si>
    <t>https://www.accessengineeringlibrary.com/content/video/V6129541770001</t>
  </si>
  <si>
    <t>Schaum's Precalculus Supplementary Problem 32.11</t>
  </si>
  <si>
    <t>System of equations | Partial fractions | Rational functions</t>
  </si>
  <si>
    <t>https://www.accessengineeringlibrary.com/content/video/V6129541771001</t>
  </si>
  <si>
    <t>Schaum's Precalculus Supplementary Problem 38.20</t>
  </si>
  <si>
    <t>Ellipses | System of equations</t>
  </si>
  <si>
    <t>https://www.accessengineeringlibrary.com/content/video/V6129542080001</t>
  </si>
  <si>
    <t>Schaum's Precalculus Supplementary Problem 9.33</t>
  </si>
  <si>
    <t>Fractions | Mathematical functions</t>
  </si>
  <si>
    <t>https://www.accessengineeringlibrary.com/content/video/V6129542154001</t>
  </si>
  <si>
    <t>Schaum's Precalculus Supplementary Problem 10.22</t>
  </si>
  <si>
    <t>https://www.accessengineeringlibrary.com/content/video/V6129542156001</t>
  </si>
  <si>
    <t>Schaum's Precalculus Supplementary Problem 19.19</t>
  </si>
  <si>
    <t>Logarithms</t>
  </si>
  <si>
    <t>https://www.accessengineeringlibrary.com/content/video/V6129542162001</t>
  </si>
  <si>
    <t>Schaum's Precalculus Supplementary Problem 33.12</t>
  </si>
  <si>
    <t>Quadratic equations | Nonlinear equations | System of equations</t>
  </si>
  <si>
    <t>https://www.accessengineeringlibrary.com/content/video/V6129542168001</t>
  </si>
  <si>
    <t>Schaum's Precalculus Supplementary Problem 45.27</t>
  </si>
  <si>
    <t>Tangent | Exponents | Derivatives | Mathematical functions</t>
  </si>
  <si>
    <t>https://www.accessengineeringlibrary.com/content/video/V6129542169001</t>
  </si>
  <si>
    <t>Schaum's Precalculus Supplementary Problem 3.13</t>
  </si>
  <si>
    <t>Exponents</t>
  </si>
  <si>
    <t>https://www.accessengineeringlibrary.com/content/video/V6129542284001</t>
  </si>
  <si>
    <t>Schaum's Precalculus Supplementary Problem 8.28</t>
  </si>
  <si>
    <t>Analytical geometry | Circles</t>
  </si>
  <si>
    <t>https://www.accessengineeringlibrary.com/content/video/V6129542286001</t>
  </si>
  <si>
    <t>Schaum's Precalculus Supplementary Problem 20.31</t>
  </si>
  <si>
    <t>Sine | Cotangent | Cosine | Cosecant | Trigonometric functions</t>
  </si>
  <si>
    <t>https://www.accessengineeringlibrary.com/content/video/V6129542301001</t>
  </si>
  <si>
    <t>Schaum's Precalculus Supplementary Problem 23.21</t>
  </si>
  <si>
    <t>Sine | Cosine | Secant | Fractions | Tangent | Trigonometric functions</t>
  </si>
  <si>
    <t>https://www.accessengineeringlibrary.com/content/video/V6129542302001</t>
  </si>
  <si>
    <t>Schaum's Precalculus Supplementary Problem 31.11</t>
  </si>
  <si>
    <t>Matrices</t>
  </si>
  <si>
    <t>https://www.accessengineeringlibrary.com/content/video/V6129543291001</t>
  </si>
  <si>
    <t>Schaum's Precalculus Supplementary Problem 6.15</t>
  </si>
  <si>
    <t>Inequalities</t>
  </si>
  <si>
    <t>https://www.accessengineeringlibrary.com/content/video/V6129543959001</t>
  </si>
  <si>
    <t>Schaum's Precalculus Supplementary Problem 18.21</t>
  </si>
  <si>
    <t>https://www.accessengineeringlibrary.com/content/video/V6129543970001</t>
  </si>
  <si>
    <t>Schaum's Precalculus Supplementary Problem 24.24</t>
  </si>
  <si>
    <t>Cosine | Sine | Tangent | Trigonometric functions</t>
  </si>
  <si>
    <t>https://www.accessengineeringlibrary.com/content/video/V6129543975001</t>
  </si>
  <si>
    <t>Schaum's Precalculus Supplementary Problem 25.22</t>
  </si>
  <si>
    <t>Cosine | Sine | Tangent | Trigonometric functions | Trigonometric equations</t>
  </si>
  <si>
    <t>https://www.accessengineeringlibrary.com/content/video/V6129543977001</t>
  </si>
  <si>
    <t>Schaum's Precalculus Supplementary Problem 35.23</t>
  </si>
  <si>
    <t>https://www.accessengineeringlibrary.com/content/video/V6129543983001</t>
  </si>
  <si>
    <t>Schaum's Precalculus Supplementary Problem 44.16</t>
  </si>
  <si>
    <t>Algebra | Binomial theorem | Polynomials</t>
  </si>
  <si>
    <t>https://www.accessengineeringlibrary.com/content/video/V6129543984001</t>
  </si>
  <si>
    <t>Schaum's Precalculus Supplementary Problem 17.25</t>
  </si>
  <si>
    <t>https://www.accessengineeringlibrary.com/content/video/V6129544262001</t>
  </si>
  <si>
    <t>Schaum's Precalculus Supplementary Problem 22.30</t>
  </si>
  <si>
    <t>Trigonometric functions | Sine | Cosine | Tangent | Secant | Cotangent</t>
  </si>
  <si>
    <t>https://www.accessengineeringlibrary.com/content/video/V6129544271001</t>
  </si>
  <si>
    <t>Schaum's Precalculus Supplementary Problem 27.19</t>
  </si>
  <si>
    <t>Sine | Triangles | Law of sines | Cosine | Law of cosines | Vectors</t>
  </si>
  <si>
    <t>https://www.accessengineeringlibrary.com/content/video/V6129544275001</t>
  </si>
  <si>
    <t>Schaum's Precalculus Supplementary Problem 34.7</t>
  </si>
  <si>
    <t>Matrices | Scalars</t>
  </si>
  <si>
    <t>https://www.accessengineeringlibrary.com/content/video/V6129544278001</t>
  </si>
  <si>
    <t>Schaum's Precalculus Supplementary Problem 28.16</t>
  </si>
  <si>
    <t>Sine | Cosine</t>
  </si>
  <si>
    <t>https://www.accessengineeringlibrary.com/content/video/V6129544279001</t>
  </si>
  <si>
    <t>Schaum's Probability, Random Variables, and Random Processes Supplementary Problem 4.91</t>
  </si>
  <si>
    <t>Schaum's Outline of Probability, Random Variables, and Random Processes, Fourth Edition</t>
  </si>
  <si>
    <t>Random variables | Random processes | Probability density function | Jacobian matrix | Mean | Integration by parts</t>
  </si>
  <si>
    <t>https://www.accessengineeringlibrary.com/content/video/V6166712100001</t>
  </si>
  <si>
    <t>Schaum's Probability, Random Variables, and Random Processes Supplementary Problem 7.25</t>
  </si>
  <si>
    <t>Random variables | Random processes | Expected value | Variance | Mean</t>
  </si>
  <si>
    <t>https://www.accessengineeringlibrary.com/content/video/V6166712101001</t>
  </si>
  <si>
    <t>Schaum's Probability, Random Variables, and Random Processes Supplementary Problem 9.22</t>
  </si>
  <si>
    <t>Random variables | Random processes | Geometric series | Electric power systems</t>
  </si>
  <si>
    <t>Computer science | Mathematics | Electrical engineering | Energy engineering | Mechanical engineering</t>
  </si>
  <si>
    <t>https://www.accessengineeringlibrary.com/content/video/V6166712102001</t>
  </si>
  <si>
    <t>Schaum's Probability, Random Variables, and Random Processes Supplementary Problem 10.58</t>
  </si>
  <si>
    <t>Random variables | Random processes | Entropy | Continuous random variables | Probability density function | Derivatives</t>
  </si>
  <si>
    <t>Computer science | Mathematics | Chemical engineering | Mechanical engineering | Sciences</t>
  </si>
  <si>
    <t>https://www.accessengineeringlibrary.com/content/video/V6166712103001</t>
  </si>
  <si>
    <t>Schaum's Probability, Random Variables, and Random Processes Supplementary Problem 3.58</t>
  </si>
  <si>
    <t>Random variables | Random processes | Continuous random variables | Probability density function | Probability | Integrals</t>
  </si>
  <si>
    <t>https://www.accessengineeringlibrary.com/content/video/V6166712104001</t>
  </si>
  <si>
    <t>Schaum's Probability, Random Variables, and Random Processes Supplementary Problem 3.64</t>
  </si>
  <si>
    <t>Random variables | Random processes | Continuous random variables | Probability density function | Cumulative distribution functions | Conditional probability</t>
  </si>
  <si>
    <t>https://www.accessengineeringlibrary.com/content/video/V6166712105001</t>
  </si>
  <si>
    <t>Schaum's Probability, Random Variables, and Random Processes Supplementary Problem 5.100</t>
  </si>
  <si>
    <t>Random variables | Random processes | Expected value | Decomposition | Mean</t>
  </si>
  <si>
    <t>Computer science | Mathematics | Sciences</t>
  </si>
  <si>
    <t>https://www.accessengineeringlibrary.com/content/video/V6166712199001</t>
  </si>
  <si>
    <t>Schaum's Probability, Random Variables, and Random Processes Supplementary Problem 9.23</t>
  </si>
  <si>
    <t>Random variables | Random processes | System information | Expected value</t>
  </si>
  <si>
    <t>https://www.accessengineeringlibrary.com/content/video/V6166712200001</t>
  </si>
  <si>
    <t>Schaum's Probability, Random Variables, and Random Processes Supplementary Problem 1.85</t>
  </si>
  <si>
    <t>Random variables | Random processes | Probability concepts | Probability events | Sample spaces | Decomposition</t>
  </si>
  <si>
    <t>https://www.accessengineeringlibrary.com/content/video/V6166712201001</t>
  </si>
  <si>
    <t>Schaum's Probability, Random Variables, and Random Processes Supplementary Problem 2.70</t>
  </si>
  <si>
    <t>Random variables | Random processes | Continuous random variables | Cumulative distribution functions | Probability density function | Improper integrals</t>
  </si>
  <si>
    <t>https://www.accessengineeringlibrary.com/content/video/V6166712202001</t>
  </si>
  <si>
    <t>Schaum's Probability, Random Variables, and Random Processes Supplementary Problem 4.97</t>
  </si>
  <si>
    <t>Random variables | Random processes | Moment generating functions | Expected value | Real numbers | Mass</t>
  </si>
  <si>
    <t>https://www.accessengineeringlibrary.com/content/video/V6166713987001</t>
  </si>
  <si>
    <t>Schaum's Probability, Random Variables, and Random Processes Supplementary Problem 4.94</t>
  </si>
  <si>
    <t>Random variables | Random processes | Probability mass function | Probability generating functions | Factorial | Discrete random variables</t>
  </si>
  <si>
    <t>https://www.accessengineeringlibrary.com/content/video/V6166713988001</t>
  </si>
  <si>
    <t>Schaum's Probability, Random Variables, and Random Processes Supplementary Problem 1.99</t>
  </si>
  <si>
    <t>Random variables | Random processes | Probability events | Probability</t>
  </si>
  <si>
    <t>https://www.accessengineeringlibrary.com/content/video/V6166713991001</t>
  </si>
  <si>
    <t>Schaum's Probability, Random Variables, and Random Processes Supplementary Problem 2.67</t>
  </si>
  <si>
    <t>Random variables | Random processes | Expected value | Factorial | Probability mass function | Probability</t>
  </si>
  <si>
    <t>https://www.accessengineeringlibrary.com/content/video/V6166713992001</t>
  </si>
  <si>
    <t>Schaum's Probability, Random Variables, and Random Processes Supplementary Problem 3.61</t>
  </si>
  <si>
    <t>Random variables | Random processes | Probability density function | Continuous random variables | Mean</t>
  </si>
  <si>
    <t>https://www.accessengineeringlibrary.com/content/video/V6166713993001</t>
  </si>
  <si>
    <t>Schaum's Probability, Random Variables, and Random Processes Supplementary Problem 8.18</t>
  </si>
  <si>
    <t>Random variables | Random processes | Hypothesis testing | Mean | Probability | Standard deviation</t>
  </si>
  <si>
    <t>https://www.accessengineeringlibrary.com/content/video/V6166714084001</t>
  </si>
  <si>
    <t>Schaum's Probability, Random Variables, and Random Processes Supplementary Problem 2.63</t>
  </si>
  <si>
    <t>Random variables | Random processes | Probability events | Discrete random variables | Probability mass function | Geometric series</t>
  </si>
  <si>
    <t>https://www.accessengineeringlibrary.com/content/video/V6166714086001</t>
  </si>
  <si>
    <t>Schaum's Probability, Random Variables, and Random Processes Supplementary Problem 5.95</t>
  </si>
  <si>
    <t>Random variables | Random processes | System of equations | Linear systems | Coefficient matrices | Algebra</t>
  </si>
  <si>
    <t>Computer science | Mathematics | Electrical engineering | Mechanical engineering</t>
  </si>
  <si>
    <t>https://www.accessengineeringlibrary.com/content/video/V6166714181001</t>
  </si>
  <si>
    <t>Schaum's Probability, Random Variables, and Random Processes Supplementary Problem 8.20</t>
  </si>
  <si>
    <t>Random variables | Random processes | Probability density function | Variance | Mean</t>
  </si>
  <si>
    <t>https://www.accessengineeringlibrary.com/content/video/V6166714182001</t>
  </si>
  <si>
    <t>Schaum's Probability, Random Variables, and Random Processes Supplementary Problem 10.50</t>
  </si>
  <si>
    <t>Random variables | Random processes</t>
  </si>
  <si>
    <t>https://www.accessengineeringlibrary.com/content/video/V6166714184001</t>
  </si>
  <si>
    <t>Schaum's Probability, Random Variables, and Random Processes Supplementary Problem 3.57</t>
  </si>
  <si>
    <t>Random variables | Random processes | Probability mass function | Discrete random variables</t>
  </si>
  <si>
    <t>https://www.accessengineeringlibrary.com/content/video/V6166714185001</t>
  </si>
  <si>
    <t>Schaum's Probability, Random Variables, and Random Processes Supplementary Problem 2.76</t>
  </si>
  <si>
    <t>Random variables | Random processes | Defects | Time to failure | Mean | Manufacturing</t>
  </si>
  <si>
    <t>https://www.accessengineeringlibrary.com/content/video/V6166714186001</t>
  </si>
  <si>
    <t>Schaum's Statics Supplementary Problem 2.16: Moments</t>
  </si>
  <si>
    <t>Schaum's Outline of Engineering Mechanics: Statics, Seventh Edition</t>
  </si>
  <si>
    <t>Statics | Mechanical engineering | Unit vectors | Position vectors | Scalars | Cross product</t>
  </si>
  <si>
    <t>https://www.accessengineeringlibrary.com/content/video/V6224876677001</t>
  </si>
  <si>
    <t>Schaum's Statics Supplementary Problem 5.27: Unknown Forces</t>
  </si>
  <si>
    <t>Statics | Mechanical engineering | Mechanical springs | Tension | Pulleys | Sine</t>
  </si>
  <si>
    <t>https://www.accessengineeringlibrary.com/content/video/V6224878389001</t>
  </si>
  <si>
    <t>Schaum's Statics Supplementary Problem 1.50: Cross Products</t>
  </si>
  <si>
    <t>Statics | Cross product | Mechanical engineering | Brackets</t>
  </si>
  <si>
    <t>https://www.accessengineeringlibrary.com/content/video/V6224878438001</t>
  </si>
  <si>
    <t>Schaum's Statics Supplementary Problem 11.96: Volume of Revolution</t>
  </si>
  <si>
    <t>Statics | Mechanical engineering | Volume | Centers of mass | Tangent | Surface topography</t>
  </si>
  <si>
    <t>Civil engineering | Mechanical engineering | Chemical engineering | Sciences | Mathematics | Materials engineering</t>
  </si>
  <si>
    <t>https://www.accessengineeringlibrary.com/content/video/V6224884687001</t>
  </si>
  <si>
    <t>Schaum's Statics Supplementary Problem 1.34: Unit Vectors</t>
  </si>
  <si>
    <t>Unit vectors | Statics | Mechanical engineering | Loading vector | Position vectors | Vectors</t>
  </si>
  <si>
    <t>https://www.accessengineeringlibrary.com/content/video/V6224888003001</t>
  </si>
  <si>
    <t>Schaum's Statics Supplementary Problem 2.26: Resultants</t>
  </si>
  <si>
    <t>Statics | Mechanical engineering | Belts | Pythagorean theorem | Torque | Pulleys</t>
  </si>
  <si>
    <t>https://www.accessengineeringlibrary.com/content/video/V6224888114001</t>
  </si>
  <si>
    <t>Schaum's Statics Supplementary Problem 1.22: Coplanar Forces</t>
  </si>
  <si>
    <t>Statics | Coplanar forces | Mechanical engineering | Sine | Cosine | Triangles</t>
  </si>
  <si>
    <t>https://www.accessengineeringlibrary.com/content/video/V6224898164001</t>
  </si>
  <si>
    <t>Schaum's Statics Supplementary Problem 7.27: Truss/Sections</t>
  </si>
  <si>
    <t>Statics | Mechanical engineering | Tension | Sine | Trusses | Method of sections</t>
  </si>
  <si>
    <t>https://www.accessengineeringlibrary.com/content/video/V6224898344001</t>
  </si>
  <si>
    <t>Schaum's Statics Supplementary Problem 6.22: Unknown Force</t>
  </si>
  <si>
    <t>Statics | Mechanical engineering | Sine | Tension | Cosine | Triangles</t>
  </si>
  <si>
    <t>https://www.accessengineeringlibrary.com/content/video/V6224901980001</t>
  </si>
  <si>
    <t>Schaum's Statics Supplementary Problem 9.32: Friction</t>
  </si>
  <si>
    <t>Statics | Mechanical engineering | Friction | Tension | Mass | Pulleys</t>
  </si>
  <si>
    <t>https://www.accessengineeringlibrary.com/content/video/V6224903830001</t>
  </si>
  <si>
    <t>Schaum's Statics Supplementary Problem 7.20: Truss/Joints</t>
  </si>
  <si>
    <t>Statics | Mechanical engineering | Sine | Tension | Cosine | Trusses | Method of joints</t>
  </si>
  <si>
    <t>https://www.accessengineeringlibrary.com/content/video/V6224903831001</t>
  </si>
  <si>
    <t>Schaum's Statics Supplementary Problem 6.20: Tripod Analysis</t>
  </si>
  <si>
    <t>Statics | Mechanical engineering | Sine | Triangles | Right triangles | Finite element analysis</t>
  </si>
  <si>
    <t>https://www.accessengineeringlibrary.com/content/video/V6224924784001</t>
  </si>
  <si>
    <t>Schaum's Statics Supplementary Problem 5.35: Unknown Force</t>
  </si>
  <si>
    <t>Statics | Mechanical engineering | Sine | Tension | Method of joints</t>
  </si>
  <si>
    <t>https://www.accessengineeringlibrary.com/content/video/V6224924881001</t>
  </si>
  <si>
    <t>Schaum's Statics Supplementary Problem 5.37: Unknown Force</t>
  </si>
  <si>
    <t>Statics | Mechanical engineering | Sine | Cosine | Pythagorean theorem | Significant digits</t>
  </si>
  <si>
    <t>https://www.accessengineeringlibrary.com/content/video/V6224927184001</t>
  </si>
  <si>
    <t>Schaum's Statics Supplementary Problem 3.21: Resultant Components</t>
  </si>
  <si>
    <t>Statics | Mechanical engineering | Sine | Cosine | Triangles | Pythagorean theorem</t>
  </si>
  <si>
    <t>https://www.accessengineeringlibrary.com/content/video/V6224927340001</t>
  </si>
  <si>
    <t>Schaum's Statics Supplementary Problem 3.41: Resultant Location</t>
  </si>
  <si>
    <t>Statics | Mechanical engineering | Tangent | Steel | Mean</t>
  </si>
  <si>
    <t>Civil engineering | Mechanical engineering | Mathematics | Materials engineering | Computer science</t>
  </si>
  <si>
    <t>https://www.accessengineeringlibrary.com/content/video/V6224927341001</t>
  </si>
  <si>
    <t>Schaum's Statics Supplementary Problem 9.24: Leaning Ladder</t>
  </si>
  <si>
    <t>Statics | Mechanical engineering | Friction | Cosine | Sine</t>
  </si>
  <si>
    <t>Civil engineering | Mechanical engineering | Materials engineering | Sciences | Mathematics</t>
  </si>
  <si>
    <t>https://www.accessengineeringlibrary.com/content/video/V6224927921001</t>
  </si>
  <si>
    <t>Schaum's Statics Supplementary Problem 5.61: Beam Forces</t>
  </si>
  <si>
    <t>Statics | Pulleys | Mechanical engineering | Tension | Sine | Cosine</t>
  </si>
  <si>
    <t>https://www.accessengineeringlibrary.com/content/video/V6224928422001</t>
  </si>
  <si>
    <t>Schaum's Statics Supplementary Problem 5.43: Beam Reactions</t>
  </si>
  <si>
    <t>Statics | Mechanical engineering | Loads | Area measurement | Triangles | Structural beams</t>
  </si>
  <si>
    <t>https://www.accessengineeringlibrary.com/content/video/V6224928522001</t>
  </si>
  <si>
    <t>Schaum's Statics Supplementary Problem 4.19: Couples</t>
  </si>
  <si>
    <t>Statics | Mechanical engineering | Spin | Cosine | Shafts</t>
  </si>
  <si>
    <t>https://www.accessengineeringlibrary.com/content/video/V6224928523001</t>
  </si>
  <si>
    <t>Schaum's Statics Supplementary Problem 8.6: Cantilever Beams</t>
  </si>
  <si>
    <t>Statics | Cantilever beams | Mechanical engineering | Triangles | Centers of mass | Shear force</t>
  </si>
  <si>
    <t>https://www.accessengineeringlibrary.com/content/video/V6224930117001</t>
  </si>
  <si>
    <t>Schaum's Statics Supplementary Problem 4.8: Concurrent Forces</t>
  </si>
  <si>
    <t>Statics | Concurrent forces | Mechanical engineering | Cosine | Sine | Triangles</t>
  </si>
  <si>
    <t>https://www.accessengineeringlibrary.com/content/video/V6224930135001</t>
  </si>
  <si>
    <t>Schaum's Statics Supplementary Problem 11.57: Area Centroids</t>
  </si>
  <si>
    <t>Statics | Geometric centroid | Mechanical engineering | Centers of mass | Area formulas</t>
  </si>
  <si>
    <t>https://www.accessengineeringlibrary.com/content/video/V6224931349001</t>
  </si>
  <si>
    <t>Schaum's Statics Supplementary Problem 3.48: Maximum Moment</t>
  </si>
  <si>
    <t>Statics | Mechanical engineering | Triangles | Centers of mass | Spin | Torque | Moment of inertia</t>
  </si>
  <si>
    <t>https://www.accessengineeringlibrary.com/content/video/V6224931351001</t>
  </si>
  <si>
    <t>Schaum's Statics Supplementary Problem 9.26: Wedges</t>
  </si>
  <si>
    <t>Statics | Mechanical engineering | Friction | Sine | Cosine</t>
  </si>
  <si>
    <t>https://www.accessengineeringlibrary.com/content/video/V6224936609001</t>
  </si>
  <si>
    <t>Schaum's Dynamics Supplementary Problem 1.41: Cross Products</t>
  </si>
  <si>
    <t>Schaum's Outline of Engineering Mechanics: Dynamics, Seventh Edition</t>
  </si>
  <si>
    <t>Mechanical engineering | Unit vectors | Cross product</t>
  </si>
  <si>
    <t>https://www.accessengineeringlibrary.com/content/video/V6231312663001</t>
  </si>
  <si>
    <t>Schaum's Dynamics Supplementary Problem 8.40: Critical Damping</t>
  </si>
  <si>
    <t>Critical damping | Mechanical engineering | Damping | Mass | Natural frequency | Damping ratio</t>
  </si>
  <si>
    <t>https://www.accessengineeringlibrary.com/content/video/V6231312664001</t>
  </si>
  <si>
    <t>Schaum's Dynamics Supplementary Problem 5.70: Pulley Analysis</t>
  </si>
  <si>
    <t>Pulleys | Mechanical engineering | Tension | Datums | Acceleration | Relative motion</t>
  </si>
  <si>
    <t>Civil engineering | Mechanical engineering | Sciences | Industrial engineering</t>
  </si>
  <si>
    <t>https://www.accessengineeringlibrary.com/content/video/V6231314320001</t>
  </si>
  <si>
    <t>Schaum's Dynamics Supplementary Problem 3.31: Newton's 2nd Law</t>
  </si>
  <si>
    <t>Mechanical engineering | Acceleration | Deceleration | Mass | Gases | Clutches | Newtons laws of motion</t>
  </si>
  <si>
    <t>Mechanical engineering | Civil engineering | Sciences | Aerospace engineering</t>
  </si>
  <si>
    <t>https://www.accessengineeringlibrary.com/content/video/V6231314321001</t>
  </si>
  <si>
    <t>Schaum's Dynamics Supplementary Problem 7.90: Coefficient of restitution</t>
  </si>
  <si>
    <t>Velocity | Mechanical engineering | Mass | Linear momentum | Speed | Linear equations</t>
  </si>
  <si>
    <t>https://www.accessengineeringlibrary.com/content/video/V6231314422001</t>
  </si>
  <si>
    <t>Schaum's Dynamics Supplementary Problem 2.49: Speed Calculation</t>
  </si>
  <si>
    <t>Acceleration | Mechanical engineering | Velocity | Speed | Rectilinear motion | Equations of motion</t>
  </si>
  <si>
    <t>https://www.accessengineeringlibrary.com/content/video/V6231314423001</t>
  </si>
  <si>
    <t>Schaum's Dynamics Supplementary Problem 3.40: Friction</t>
  </si>
  <si>
    <t>Kinetic friction | Mechanical engineering | Tension | Kinetics | Mass | Friction</t>
  </si>
  <si>
    <t>https://www.accessengineeringlibrary.com/content/video/V6231314425001</t>
  </si>
  <si>
    <t>Schaum's Dynamics Supplementary Problem 6.84: Work, Friction, and Velocity</t>
  </si>
  <si>
    <t>Velocity | Kinetic friction | Mechanical engineering | Potential energy | Friction | Conservation of energy</t>
  </si>
  <si>
    <t>Civil engineering | Mechanical engineering | Sciences | Materials engineering | Chemical engineering</t>
  </si>
  <si>
    <t>https://www.accessengineeringlibrary.com/content/video/V6231315684001</t>
  </si>
  <si>
    <t>Schaum's Dynamics Supplementary Problem 8.23: Harmonic Motion</t>
  </si>
  <si>
    <t>Harmonics | Acceleration | Mechanical engineering | Amplitude | Sine | Harmonic vibration</t>
  </si>
  <si>
    <t>https://www.accessengineeringlibrary.com/content/video/V6231315685001</t>
  </si>
  <si>
    <t>Schaum's Dynamics Supplementary Problem 7.60: Angular Impulse</t>
  </si>
  <si>
    <t>Mechanical engineering | Pulleys | Torque | Angular acceleration | Tangent | Spin</t>
  </si>
  <si>
    <t>Mechanical engineering | Civil engineering | Sciences | Mathematics</t>
  </si>
  <si>
    <t>https://www.accessengineeringlibrary.com/content/video/V6231315872001</t>
  </si>
  <si>
    <t>Schaum's Dynamics Supplementary Problem 6.39: Work and Friction</t>
  </si>
  <si>
    <t>Kinetic friction | Mechanical engineering | Friction | Potential energy | Force | Sine</t>
  </si>
  <si>
    <t>Civil engineering | Mechanical engineering | Materials engineering | Sciences | Chemical engineering | Mathematics</t>
  </si>
  <si>
    <t>https://www.accessengineeringlibrary.com/content/video/V6231316574001</t>
  </si>
  <si>
    <t>Schaum's Dynamics Supplementary Problem 4.79: A Sliding Mechanism</t>
  </si>
  <si>
    <t>Mechanical engineering | Relative velocity | Acceleration | Unit vectors | Cross product | Angular acceleration</t>
  </si>
  <si>
    <t>https://www.accessengineeringlibrary.com/content/video/V6231316577001</t>
  </si>
  <si>
    <t>Schaum's Dynamics Supplementary Problem 4.44: Velocity and Acceleration Polygons</t>
  </si>
  <si>
    <t>Acceleration | Velocity | Polygons | Mechanical engineering | Chain rules | Kinematics</t>
  </si>
  <si>
    <t>https://www.accessengineeringlibrary.com/content/video/V6231317513001</t>
  </si>
  <si>
    <t>Schaum's Dynamics Supplementary Problem 7.68: A Rotating Drum</t>
  </si>
  <si>
    <t>Mechanical engineering | Angular velocity | Moment of inertia | Integrals | Angular acceleration | Mass moment of inertia</t>
  </si>
  <si>
    <t>https://www.accessengineeringlibrary.com/content/video/V6231318657001</t>
  </si>
  <si>
    <t>Schaum's Dynamics Supplementary Problem 1.24: Vector Component</t>
  </si>
  <si>
    <t>Mechanical engineering | Cosine | Triangles | Right triangles | Vectors</t>
  </si>
  <si>
    <t>https://www.accessengineeringlibrary.com/content/video/V6231318658001</t>
  </si>
  <si>
    <t>Schaum's Dynamics Supplementary Problem 5.64: An Accelerating Cylinder</t>
  </si>
  <si>
    <t>Acceleration | Mechanical engineering | Friction | Kinetics | Centers of mass | Mass</t>
  </si>
  <si>
    <t>https://www.accessengineeringlibrary.com/content/video/V6231318659001</t>
  </si>
  <si>
    <t>Schaum's Dynamics Supplementary Problem 6.34: Work to Pump Water</t>
  </si>
  <si>
    <t>Water pumps | Mechanical engineering | Fluid density | Volume | Water wells | Conservation of energy</t>
  </si>
  <si>
    <t>https://www.accessengineeringlibrary.com/content/video/V6231318754001</t>
  </si>
  <si>
    <t>Schaum's Dynamics Supplementary Problem 2.70: Normal Acceleration</t>
  </si>
  <si>
    <t>Acceleration | Mechanical engineering | Curvilinear motion | Velocity | Speed | Equations of motion</t>
  </si>
  <si>
    <t>https://www.accessengineeringlibrary.com/content/video/V6231318755001</t>
  </si>
  <si>
    <t>Schaum's Dynamics Supplementary Problem 4.50: Four-Bar Linkage</t>
  </si>
  <si>
    <t>Four bar linkages | Mechanical engineering | Angular velocity | Velocity | Kinematics | Cross product</t>
  </si>
  <si>
    <t>https://www.accessengineeringlibrary.com/content/video/V6231318756001</t>
  </si>
  <si>
    <t>Schaum's Dynamics Supplementary Problem 5.61: A Rolling Cylinder</t>
  </si>
  <si>
    <t>Mechanical engineering | Sine | Mass | Friction | Angular acceleration | Acceleration</t>
  </si>
  <si>
    <t>Mechanical engineering | Mathematics | Sciences | Materials engineering | Civil engineering</t>
  </si>
  <si>
    <t>https://www.accessengineeringlibrary.com/content/video/V6231345093001</t>
  </si>
  <si>
    <t>Schaum's Dynamics Supplementary Problem 4.30: Angular Acceleration</t>
  </si>
  <si>
    <t>Mechanical engineering | Acceleration | Angular velocity | Unit vectors | Tension | Angular acceleration</t>
  </si>
  <si>
    <t>https://www.accessengineeringlibrary.com/content/video/V6231347497001</t>
  </si>
  <si>
    <t>Schaum's Dynamics Supplementary Problem 2.87: Angular Velocity and Acceleration</t>
  </si>
  <si>
    <t>Angular velocity | Angular acceleration | Mechanical engineering | Gears | Gear train | Acceleration</t>
  </si>
  <si>
    <t>https://www.accessengineeringlibrary.com/content/video/V6231348676001</t>
  </si>
  <si>
    <t>Schaum's Dynamics Supplementary Problem 3.45: Sliding Friction</t>
  </si>
  <si>
    <t>Kinetic friction | Mechanical engineering | Friction | Mass | Acceleration | Sine</t>
  </si>
  <si>
    <t>https://www.accessengineeringlibrary.com/content/video/V6231351905001</t>
  </si>
  <si>
    <t>Schaum's Dynamics Supplementary Problem 6.63: Work and Velocity</t>
  </si>
  <si>
    <t>Velocity | Mechanical engineering | Potential energy | Friction | Kinetic energy | Kinetics</t>
  </si>
  <si>
    <t>Civil engineering | Mechanical engineering | Sciences | Chemical engineering | Materials engineering</t>
  </si>
  <si>
    <t>https://www.accessengineeringlibrary.com/content/video/V6231360260001</t>
  </si>
  <si>
    <t>Schaum's Dynamics Supplementary Problem 5.89: Forces on a Hanging Door</t>
  </si>
  <si>
    <t>Mechanical engineering | Kinetics | Acceleration | Centers of mass | Angular acceleration | Mass</t>
  </si>
  <si>
    <t>https://www.accessengineeringlibrary.com/content/video/V6231360545001</t>
  </si>
  <si>
    <t>Movie 4.6 Local buckling of a thin-walled steel square tube.</t>
  </si>
  <si>
    <t>Design of Steel Structures</t>
  </si>
  <si>
    <t>Steel | Thin walled shafts | Local buckling | Structural steel design</t>
  </si>
  <si>
    <t>https://www.accessengineeringlibrary.com/content/video/V6285630637001</t>
  </si>
  <si>
    <t>Movie 4.1 Global buckling of a steel pinned bar.</t>
  </si>
  <si>
    <t>Steel | Buckling | Structural steel design | Finite element analysis</t>
  </si>
  <si>
    <t>https://www.accessengineeringlibrary.com/content/video/V6285630961001</t>
  </si>
  <si>
    <t>Movie 4.2 Elastic vs. inelastic global buckling of a circular steel tube.</t>
  </si>
  <si>
    <t>Steel | Structural steel design | Slender columns | Elastic buckling | Finite element analysis | Buckling of steel columns</t>
  </si>
  <si>
    <t>https://www.accessengineeringlibrary.com/content/video/V6285631162001</t>
  </si>
  <si>
    <t>Movie 5.1 Flexural deformation of a steel rectangular solid section.</t>
  </si>
  <si>
    <t>Steel | Deformation | Structural steel design | Rectangular beams | Flexure | Finite element analysis</t>
  </si>
  <si>
    <t>Civil engineering | Materials engineering | Industrial engineering | Mechanical engineering | Mathematics</t>
  </si>
  <si>
    <t>https://www.accessengineeringlibrary.com/content/video/V6285631539001</t>
  </si>
  <si>
    <t>Movie 4.5 Flexural-torsional buckling of a steel L shape.</t>
  </si>
  <si>
    <t>Steel | Flexural buckling | Structural steel design | Finite element analysis | Buckling of steel columns</t>
  </si>
  <si>
    <t>https://www.accessengineeringlibrary.com/content/video/V6285631632001</t>
  </si>
  <si>
    <t>Movie 4.3 Global buckling modes of a steel I shape about strong and weak axes. (a) Weak-axis buckling, (b) Strong-axis buckling.</t>
  </si>
  <si>
    <t>Buckling | Steel | Structural steel design</t>
  </si>
  <si>
    <t>https://www.accessengineeringlibrary.com/content/video/V6285631896001</t>
  </si>
  <si>
    <t>Movie 5.2 Plastic hinge formation in a steel wide-flange I shape beam.</t>
  </si>
  <si>
    <t>Polymers | Hinges | Steel | Structural steel design | Steel beams | Finite element analysis</t>
  </si>
  <si>
    <t>Chemical engineering | Materials engineering | Sciences | Mechanical engineering | Civil engineering | Mathematics</t>
  </si>
  <si>
    <t>https://www.accessengineeringlibrary.com/content/video/V6285632088001</t>
  </si>
  <si>
    <t>Movie 4.4 Torsional buckling of a steel cruciform shape.</t>
  </si>
  <si>
    <t>Torsion | Steel | Buckling | Structural steel design | Finite element analysis | Buckling of steel columns</t>
  </si>
  <si>
    <t>https://www.accessengineeringlibrary.com/content/video/V6285632089001</t>
  </si>
  <si>
    <t>Movie 4.7 Impact of magnitude of initial out-of-straightness on the buckling load of steel columns.</t>
  </si>
  <si>
    <t>Steel | Buckling of steel columns | Structural steel design | Geometric properties of areas | Finite element analysis | Differential geometry</t>
  </si>
  <si>
    <t>https://www.accessengineeringlibrary.com/content/video/V6285632511001</t>
  </si>
  <si>
    <t>Movie 8.1 Bearing of a bolted steel plate.</t>
  </si>
  <si>
    <t>Steel | Bearing plates | Structural steel design | Bolts</t>
  </si>
  <si>
    <t>https://www.accessengineeringlibrary.com/content/video/V6285632512001</t>
  </si>
  <si>
    <t>Agile Overview</t>
  </si>
  <si>
    <t>PMP Project Management Professional All-in-One Exam Guide</t>
  </si>
  <si>
    <t>Joseph Phillips</t>
  </si>
  <si>
    <t>Agile project management | Project management | Leadership | Return on investment | Project stakeholders | Project managers</t>
  </si>
  <si>
    <t>Civil engineering | Engineering management | Business skills</t>
  </si>
  <si>
    <t>https://www.accessengineeringlibrary.com/content/video/V6295212624001</t>
  </si>
  <si>
    <t>Role of the Project Manager</t>
  </si>
  <si>
    <t>Project managers | Project management | Requirements analysis | Project stakeholders | Return on investment | Project charters</t>
  </si>
  <si>
    <t>Engineering management | Business skills | Industrial engineering</t>
  </si>
  <si>
    <t>https://www.accessengineeringlibrary.com/content/video/V6295212625001</t>
  </si>
  <si>
    <t>Engaging Project Stakeholder Management</t>
  </si>
  <si>
    <t>Project stakeholders | Project management | Project team | Project managers | Motivation theories | Management planning</t>
  </si>
  <si>
    <t>Engineering management | Civil engineering | Business skills</t>
  </si>
  <si>
    <t>https://www.accessengineeringlibrary.com/content/video/V6295212626001</t>
  </si>
  <si>
    <t>Quality Management Facts</t>
  </si>
  <si>
    <t>Quality management | Project management | Quality inspection | Quality control | Kaizen | Defects</t>
  </si>
  <si>
    <t>https://www.accessengineeringlibrary.com/content/video/V6295212933001</t>
  </si>
  <si>
    <t>Agile Duration</t>
  </si>
  <si>
    <t>Project management | Agile project management | Backlog</t>
  </si>
  <si>
    <t>Engineering management | Civil engineering | Industrial engineering</t>
  </si>
  <si>
    <t>https://www.accessengineeringlibrary.com/content/video/V6295212934001</t>
  </si>
  <si>
    <t>Communication Model</t>
  </si>
  <si>
    <t>Project management</t>
  </si>
  <si>
    <t>https://www.accessengineeringlibrary.com/content/video/V6295212935001</t>
  </si>
  <si>
    <t>Agile Procurement Decisions</t>
  </si>
  <si>
    <t>Procurement | Project management | Agile project management | Project managers | Project definitions | Activity definition</t>
  </si>
  <si>
    <t>https://www.accessengineeringlibrary.com/content/video/V6295212936001</t>
  </si>
  <si>
    <t>Agile Stakeholder Engagement</t>
  </si>
  <si>
    <t>Project stakeholders | Agile project management | Project management | Motivation theories | Project managers | Leadership</t>
  </si>
  <si>
    <t>https://www.accessengineeringlibrary.com/content/video/V6295212937001</t>
  </si>
  <si>
    <t>Agile Team Space</t>
  </si>
  <si>
    <t>Project management | Leadership | Agile project management | Procurement</t>
  </si>
  <si>
    <t>https://www.accessengineeringlibrary.com/content/video/V6295212990001</t>
  </si>
  <si>
    <t>Agile Communications</t>
  </si>
  <si>
    <t>Project management | Agile project management</t>
  </si>
  <si>
    <t>https://www.accessengineeringlibrary.com/content/video/V6295212991001</t>
  </si>
  <si>
    <t>Human Resource Theories</t>
  </si>
  <si>
    <t>Human resource management | Project management | Maslow's Hierarchy of Needs | Project managers | Motivation theories</t>
  </si>
  <si>
    <t>https://www.accessengineeringlibrary.com/content/video/V6295212992001</t>
  </si>
  <si>
    <t>Finding Float</t>
  </si>
  <si>
    <t>Project management | Activity definition | SWOT analysis | Project scheduling | Network analysis | Activity durations</t>
  </si>
  <si>
    <t>Engineering management | Civil engineering | Business skills | Electrical engineering</t>
  </si>
  <si>
    <t>https://www.accessengineeringlibrary.com/content/video/V6295212993001</t>
  </si>
  <si>
    <t>Risk Contingency Reserve</t>
  </si>
  <si>
    <t>Project management | Probability events | Project risk management | Project stakeholders | Mean</t>
  </si>
  <si>
    <t>Engineering management | Computer science | Mathematics</t>
  </si>
  <si>
    <t>https://www.accessengineeringlibrary.com/content/video/V6295213098001</t>
  </si>
  <si>
    <t>Working with Scope Changes</t>
  </si>
  <si>
    <t>Project management | Throughput | Project scope | Project team | Project stakeholders | Earned value management</t>
  </si>
  <si>
    <t>Engineering management | Industrial engineering | Civil engineering</t>
  </si>
  <si>
    <t>https://www.accessengineeringlibrary.com/content/video/V6295213099001</t>
  </si>
  <si>
    <t>Time Value of Money</t>
  </si>
  <si>
    <t>Time value of money | Project management | Net present value | Interest rates | Future value | Internal rate of return</t>
  </si>
  <si>
    <t>Chemical engineering | Engineering management | Business skills</t>
  </si>
  <si>
    <t>https://www.accessengineeringlibrary.com/content/video/V6295214855001</t>
  </si>
  <si>
    <t>Agile Risk Management</t>
  </si>
  <si>
    <t>Project risk management | Project management | Project team | Risk management | Project managers | Project budget</t>
  </si>
  <si>
    <t>https://www.accessengineeringlibrary.com/content/video/V6295214857001</t>
  </si>
  <si>
    <t>Working with Project Integration Management</t>
  </si>
  <si>
    <t>Project management | Project charters | Knowledge engineering | Control charts | Change control</t>
  </si>
  <si>
    <t>Engineering management | Computer science | Industrial engineering | Civil engineering</t>
  </si>
  <si>
    <t>https://www.accessengineeringlibrary.com/content/video/V6295214858001</t>
  </si>
  <si>
    <t>Project Environments</t>
  </si>
  <si>
    <t>Project management | Financial assets | Risk management | Quality control | Project managers | Procurement</t>
  </si>
  <si>
    <t>https://www.accessengineeringlibrary.com/content/video/V6295215199001</t>
  </si>
  <si>
    <t>Passing Your Project Management Certification Exam</t>
  </si>
  <si>
    <t>Project management | Management planning | Project stakeholders | Project management techniques | Project scope | Worker performance</t>
  </si>
  <si>
    <t>https://www.accessengineeringlibrary.com/content/video/V6295215200001</t>
  </si>
  <si>
    <t>Cost Management for Adaptive Projects</t>
  </si>
  <si>
    <t>Project management | Management costs | Agile project management | Backlog | Work breakdown structure</t>
  </si>
  <si>
    <t>Engineering management | Business skills | Civil engineering | Industrial engineering</t>
  </si>
  <si>
    <t>https://www.accessengineeringlibrary.com/content/video/V6295215201001</t>
  </si>
  <si>
    <t>PMI Code of Ethics and Professional Conduct</t>
  </si>
  <si>
    <t>Engineering ethics | Project management | Project managers | Patents | Project team | Project stakeholders</t>
  </si>
  <si>
    <t>https://www.accessengineeringlibrary.com/content/video/V6295215715001</t>
  </si>
  <si>
    <t>Measuring Agile Project Performance</t>
  </si>
  <si>
    <t>Agile project management | Project management | Backlog | Kanban | Work in progress</t>
  </si>
  <si>
    <t>https://www.accessengineeringlibrary.com/content/video/V6295215717001</t>
  </si>
  <si>
    <t>Project Life Cycles</t>
  </si>
  <si>
    <t>Project management | Organizational structures | Project managers</t>
  </si>
  <si>
    <t>https://www.accessengineeringlibrary.com/content/video/V6295215718001</t>
  </si>
  <si>
    <t>Managing Risks in Agile Projects</t>
  </si>
  <si>
    <t>Project risk management | Agile project management | Project management | Probability events | Backlog | Risk analysis</t>
  </si>
  <si>
    <t>Engineering management | Civil engineering | Computer science | Mathematics | Industrial engineering</t>
  </si>
  <si>
    <t>https://www.accessengineeringlibrary.com/content/video/V6295215794001</t>
  </si>
  <si>
    <t>Writing User Stories</t>
  </si>
  <si>
    <t>Project management | Backlog | Sales | Functional requirements | Customer requirements</t>
  </si>
  <si>
    <t>Engineering management | Civil engineering | Industrial engineering | Business skills</t>
  </si>
  <si>
    <t>https://www.accessengineeringlibrary.com/content/video/V6295215795001</t>
  </si>
  <si>
    <t>Make or Buy Decisions</t>
  </si>
  <si>
    <t>Project management | Patents</t>
  </si>
  <si>
    <t>https://www.accessengineeringlibrary.com/content/video/V6295217622001</t>
  </si>
  <si>
    <t>Introduction to Scrum</t>
  </si>
  <si>
    <t>https://www.accessengineeringlibrary.com/content/video/V6295217623001</t>
  </si>
  <si>
    <t>Earned Value Management</t>
  </si>
  <si>
    <t>Earned value management | Project management | Actual costs | Project budget | PERT</t>
  </si>
  <si>
    <t>https://www.accessengineeringlibrary.com/content/video/V6295217624001</t>
  </si>
  <si>
    <t>Schaum's Discrete Problem 5.66: Counting with Venn Diagrams</t>
  </si>
  <si>
    <t>Rachel Petrik</t>
  </si>
  <si>
    <t>https://www.accessengineeringlibrary.com/content/video/V6298097373001</t>
  </si>
  <si>
    <t>Schaum's Discrete Problem B.40: Semi-Group Properties</t>
  </si>
  <si>
    <t>Discrete math | Real numbers</t>
  </si>
  <si>
    <t>https://www.accessengineeringlibrary.com/content/video/V6298099798001</t>
  </si>
  <si>
    <t>Schaum's Discrete Problem 6.33: Recurrence Relations</t>
  </si>
  <si>
    <t>Recurrence relations | Discrete math | Characteristic equation | Factoring</t>
  </si>
  <si>
    <t>https://www.accessengineeringlibrary.com/content/video/V6298099945001</t>
  </si>
  <si>
    <t>Schaum's Discrete Problem 11.87: Greatest Common Divisor</t>
  </si>
  <si>
    <t>Discrete math | Process time</t>
  </si>
  <si>
    <t>https://www.accessengineeringlibrary.com/content/video/V6298501958001</t>
  </si>
  <si>
    <t>Schaum's Discrete Problem 15.53: Boolean Product</t>
  </si>
  <si>
    <t>https://www.accessengineeringlibrary.com/content/video/V6298502077001</t>
  </si>
  <si>
    <t>Schaum's Discrete Problem 12.34: Languages</t>
  </si>
  <si>
    <t>https://www.accessengineeringlibrary.com/content/video/V6298502078001</t>
  </si>
  <si>
    <t>Schaum's Discrete Problem A.35: Eigenvector</t>
  </si>
  <si>
    <t>Eigenvectors | Discrete math | Eigenvalues | Vectors | System of equations | Scalars</t>
  </si>
  <si>
    <t>https://www.accessengineeringlibrary.com/content/video/V6298502184001</t>
  </si>
  <si>
    <t>Schaum's Discrete Problem 10.17: Binary Trees</t>
  </si>
  <si>
    <t>Binary trees | Discrete math</t>
  </si>
  <si>
    <t>https://www.accessengineeringlibrary.com/content/video/V6298502225001</t>
  </si>
  <si>
    <t>Schaum's Discrete Problem 8.38: Graph Theory</t>
  </si>
  <si>
    <t>Graph theory | Discrete math | Mean</t>
  </si>
  <si>
    <t>https://www.accessengineeringlibrary.com/content/video/V6298502317001</t>
  </si>
  <si>
    <t>Schaum's Discrete Problem 5.40: Counting Codes</t>
  </si>
  <si>
    <t>https://www.accessengineeringlibrary.com/content/video/V6298502318001</t>
  </si>
  <si>
    <t>Schaum's Discrete Problem 2.21: Ordered Pairs</t>
  </si>
  <si>
    <t>Discrete math | System of equations</t>
  </si>
  <si>
    <t>https://www.accessengineeringlibrary.com/content/video/V6298502319001</t>
  </si>
  <si>
    <t>Schaum's Discrete Problem 6.26: Pigeonhole Principle</t>
  </si>
  <si>
    <t>https://www.accessengineeringlibrary.com/content/video/V6298504008001</t>
  </si>
  <si>
    <t>Schaum's Discrete Problem 7.46: Probability</t>
  </si>
  <si>
    <t>Probability events | Discrete math | Sample spaces | Mean</t>
  </si>
  <si>
    <t>https://www.accessengineeringlibrary.com/content/video/V6298504009001</t>
  </si>
  <si>
    <t>Schaum's Discrete Problem 14.36: Posets</t>
  </si>
  <si>
    <t>https://www.accessengineeringlibrary.com/content/video/V6298504202001</t>
  </si>
  <si>
    <t>Schaum's Discrete Problem 13.10: Finite State Machines</t>
  </si>
  <si>
    <t>Finite state machine | Discrete math</t>
  </si>
  <si>
    <t>Computer engineering | Computer science | Electrical engineering | Mathematics</t>
  </si>
  <si>
    <t>https://www.accessengineeringlibrary.com/content/video/V6298504203001</t>
  </si>
  <si>
    <t>Schaum's Discrete Problem 9.24: Properties of Trees</t>
  </si>
  <si>
    <t>Discrete math | Rooted trees</t>
  </si>
  <si>
    <t>https://www.accessengineeringlibrary.com/content/video/V6298504290001</t>
  </si>
  <si>
    <t>Schaum's Discrete Problem 3.48: Modular Arithmetic</t>
  </si>
  <si>
    <t>https://www.accessengineeringlibrary.com/content/video/V6298504363001</t>
  </si>
  <si>
    <t>Schaum's Discrete Problem 1.50: Induction</t>
  </si>
  <si>
    <t>https://www.accessengineeringlibrary.com/content/video/V6298504364001</t>
  </si>
  <si>
    <t>Schaum's Discrete Problem 1.29: Set Operations</t>
  </si>
  <si>
    <t>https://www.accessengineeringlibrary.com/content/video/V6299180255001</t>
  </si>
  <si>
    <t>Schaum's Discrete Problem 4.26: Logical Statements</t>
  </si>
  <si>
    <t>https://www.accessengineeringlibrary.com/content/video/V6299182607001</t>
  </si>
  <si>
    <t>Finite Element Methods Problem 4.21 Part 1: Understanding the Six-Step Finite Element Approach</t>
  </si>
  <si>
    <t>Simon Jones</t>
  </si>
  <si>
    <t>Finite element analysis | Spring elements | System of equations | Stiffness matrices | Spring stiffness | Bar elements</t>
  </si>
  <si>
    <t>https://www.accessengineeringlibrary.com/content/video/V6311597510112</t>
  </si>
  <si>
    <t>Finite Element Methods Problem 4.21 Part 3: Understanding the Six-Step Finite Element Approach</t>
  </si>
  <si>
    <t>Finite element analysis | Condensed equations | Stress | System of equations | Elastic modulus | Tension</t>
  </si>
  <si>
    <t>Mathematics | Mechanical engineering | Civil engineering | Materials engineering | Sciences</t>
  </si>
  <si>
    <t>https://www.accessengineeringlibrary.com/content/video/V6311598005112</t>
  </si>
  <si>
    <t>Finite Element Methods Problem 4.21 Part 2: Understanding the Six-Step Finite Element Approach</t>
  </si>
  <si>
    <t>Finite element analysis | Boundary conditions | System of equations | Stiffness matrix assembly | Stiffness matrices | Static equilibrium</t>
  </si>
  <si>
    <t>Mathematics | Mechanical engineering | Civil engineering</t>
  </si>
  <si>
    <t>https://www.accessengineeringlibrary.com/content/video/V6311598799112</t>
  </si>
  <si>
    <t>Finite Element Methods Problem 3.1: the six-step FE approach for a spring-mass system</t>
  </si>
  <si>
    <t>Finite element analysis | Spring elements | System of equations | Condensed equations | Stiffness matrices | Spring stiffness</t>
  </si>
  <si>
    <t>https://www.accessengineeringlibrary.com/content/video/V6316668664112</t>
  </si>
  <si>
    <t>Finite Element Methods Problem 2.5: Deriving the weak form of a nonlinear ordinary differential equation</t>
  </si>
  <si>
    <t>Finite element analysis | Weak form | Ordinary differential equations | Galerkin methods | Differential equations | Weighting functions</t>
  </si>
  <si>
    <t>https://www.accessengineeringlibrary.com/content/video/V6316668749112</t>
  </si>
  <si>
    <t>Finite Element Methods Problem 3.12 Part 3: Approximating the solution of a differential equation via the finite element method</t>
  </si>
  <si>
    <t>Finite element analysis | Differential equations | Interpolation functions | Weak form | Weighting functions | Lagrange polynomials</t>
  </si>
  <si>
    <t>https://www.accessengineeringlibrary.com/content/video/V6316669064112</t>
  </si>
  <si>
    <t>Finite Element Methods Problem 4.29: Approximating the solution for thermal expansion of a bar using the weak form, Lagrange polynomials, and the six-step finite element approach.</t>
  </si>
  <si>
    <t>Finite element analysis | Weak form | Thermal expansion | Lagrange polynomials | Interpolation functions | Linear differential equations</t>
  </si>
  <si>
    <t>Mathematics | Mechanical engineering | Chemical engineering | Sciences</t>
  </si>
  <si>
    <t>https://www.accessengineeringlibrary.com/content/video/V6316669065112</t>
  </si>
  <si>
    <t>Finite Element Methods Problem 3.12 Part 2: Approximating the solution of a differential equation via the finite element method</t>
  </si>
  <si>
    <t>Finite element analysis | Differential equations | Integration by parts | Weighting functions | Weighted integral statement | Weak form</t>
  </si>
  <si>
    <t>https://www.accessengineeringlibrary.com/content/video/V6316669152112</t>
  </si>
  <si>
    <t>Finite Element Methods Problem 3.12 Part 1: Approximating the solution of a differential equation via the finite element method</t>
  </si>
  <si>
    <t>Finite element analysis | Differential equations | Interpolation functions | Weighting functions | Weighted integral statement | Galerkin methods</t>
  </si>
  <si>
    <t>https://www.accessengineeringlibrary.com/content/video/V6316670035112</t>
  </si>
  <si>
    <t>Finite Element Methods Problem 5.9: the six-step FE approach for a symmetric beam under uniform distributed load</t>
  </si>
  <si>
    <t>Finite element analysis | Beam elements | Stiffness matrices | Boundary conditions | Static equilibrium | Stiffness matrix assembly</t>
  </si>
  <si>
    <t>https://www.accessengineeringlibrary.com/content/video/V6316671418112</t>
  </si>
  <si>
    <t>Finite Element Methods Problem 5.13: the six-step FE approach for a beam subjected to a nonuniform distributed load and point load</t>
  </si>
  <si>
    <t>Finite element analysis | Beam elements | Stiffness matrices | System of equations | Stiffness matrix assembly | Static equilibrium</t>
  </si>
  <si>
    <t>https://www.accessengineeringlibrary.com/content/video/V6316671620112</t>
  </si>
  <si>
    <t>Finite Element Methods Problem 6.14: the six-step FE approach for a frame system</t>
  </si>
  <si>
    <t>Finite element analysis | Frame elements | Transformation matrices | Stiffness matrices | System of equations | Condensed equations</t>
  </si>
  <si>
    <t>https://www.accessengineeringlibrary.com/content/video/V6316672009112</t>
  </si>
  <si>
    <t>Finite Element Methods Problem 6.2: the six-step FE approach for a truss system</t>
  </si>
  <si>
    <t>Finite element analysis | Trusses | Stiffness matrices | Transformation matrices | System of equations | Tension</t>
  </si>
  <si>
    <t>Mathematics | Mechanical engineering | Civil engineering | Sciences</t>
  </si>
  <si>
    <t>https://www.accessengineeringlibrary.com/content/video/V6316672010112</t>
  </si>
  <si>
    <t>Finite Element Methods Problem 4.5: Approximating the solution of a differential equation using the weak form, Lagrange polynomials, and the six-step finite element approach.</t>
  </si>
  <si>
    <t>Finite element analysis | Weak form | Lagrange polynomials | Differential equations | Interpolation functions | Linear differential equations</t>
  </si>
  <si>
    <t>https://www.accessengineeringlibrary.com/content/video/V6316672011112</t>
  </si>
  <si>
    <t>Finite Element Methods Problem 3.6: the six-step FE approach for a electrical (resistor) circuit</t>
  </si>
  <si>
    <t>Finite element analysis | Resistors | Electricity | Circuits | Resistor networks | Voltage</t>
  </si>
  <si>
    <t>Mathematics | Mechanical engineering | Electrical engineering | Sciences</t>
  </si>
  <si>
    <t>https://www.accessengineeringlibrary.com/content/video/V6316672012112</t>
  </si>
  <si>
    <t>Finite Element Methods Problem 4.20: the six-step FE approach for a system of elastic bars with changing boundary conditions.</t>
  </si>
  <si>
    <t>Finite element analysis | Boundary conditions | Bar elements | System of equations | Condensed equations | Stiffness matrix assembly</t>
  </si>
  <si>
    <t>https://www.accessengineeringlibrary.com/content/video/V6317083617112</t>
  </si>
  <si>
    <t>Finite Element Methods Problem 4.4: the six-step FE approach for a 1D heat conduction system</t>
  </si>
  <si>
    <t>Finite element analysis | Conductive heat transfer | Heat transfer | Electric conduction | System of equations | Watts</t>
  </si>
  <si>
    <t>Mathematics | Mechanical engineering | Chemical engineering | Sciences | Electrical engineering | Energy engineering</t>
  </si>
  <si>
    <t>https://www.accessengineeringlibrary.com/content/video/V6317084498112</t>
  </si>
  <si>
    <t>Finite Element Methods Problem 4.16: Approximating the solution of a coupled system of differential equation using the weak form, Lagrange polynomials, and the six-step finite element approach.</t>
  </si>
  <si>
    <t>Finite element analysis | Weak form | Lagrange polynomials | Differential equations | Linear differential equations | Laminar flow</t>
  </si>
  <si>
    <t>https://www.accessengineeringlibrary.com/content/video/V6317128803112</t>
  </si>
  <si>
    <t>Overview of Building Codes and General Engineering Application</t>
  </si>
  <si>
    <t>McGraw Hill's Crash Course on the US Building Codes</t>
  </si>
  <si>
    <t>Richard Racz</t>
  </si>
  <si>
    <t>Building codes | International building code | Structural engineering | Environmental engineering | Construction permits</t>
  </si>
  <si>
    <t>https://www.accessengineeringlibrary.com/content/video/V6339532945112</t>
  </si>
  <si>
    <t>Authority Having Jurisdiction - Local Codes and the IBC</t>
  </si>
  <si>
    <t>International building code | Building codes | Loads | Design load | Wind speed</t>
  </si>
  <si>
    <t>Civil engineering | Mechanical engineering | Chemical engineering | Sciences | Energy engineering | Environmental engineering</t>
  </si>
  <si>
    <t>https://www.accessengineeringlibrary.com/content/video/V6339532946112</t>
  </si>
  <si>
    <t>Differences Between Gravity and Environmental Loads + ASCE 7 Tips</t>
  </si>
  <si>
    <t>Gravity load | Design load | Wind load | Seismic loads | Live load</t>
  </si>
  <si>
    <t>https://www.accessengineeringlibrary.com/content/video/V6339533333112</t>
  </si>
  <si>
    <t>The ASCE 7 - Part 2 (Lateral Loads)</t>
  </si>
  <si>
    <t>Seismic design | Wind load | Seismic loads | Design load | Loads</t>
  </si>
  <si>
    <t>https://www.accessengineeringlibrary.com/content/video/V6339533334112</t>
  </si>
  <si>
    <t>Review of IBC Chapter 21 - Masonry</t>
  </si>
  <si>
    <t>IBC codes for masonry | Masonry design | Concrete masonry | Strength design of masonry members | Code requirements | International building code</t>
  </si>
  <si>
    <t>https://www.accessengineeringlibrary.com/content/video/V6339533936112</t>
  </si>
  <si>
    <t>Review of IBC Chapter 23 - Wood</t>
  </si>
  <si>
    <t>IBC codes for wood | Wood structures | Wood design | Structural requirements | Construction permits</t>
  </si>
  <si>
    <t>https://www.accessengineeringlibrary.com/content/video/V6339533937112</t>
  </si>
  <si>
    <t>Review of IBC Chapter 22 - Steel</t>
  </si>
  <si>
    <t>IBC codes for steel | Structural steel | Structural steel design | Steel | Structural requirements</t>
  </si>
  <si>
    <t>Civil engineering | Materials engineering | Industrial engineering</t>
  </si>
  <si>
    <t>https://www.accessengineeringlibrary.com/content/video/V6339534316112</t>
  </si>
  <si>
    <t>The ASCE 7 - Part 1 (Gravity and Environmental Loads)</t>
  </si>
  <si>
    <t>Live load | Flood loads | Gravity load | Snow load | Load combinations</t>
  </si>
  <si>
    <t>https://www.accessengineeringlibrary.com/content/video/V6339534607112</t>
  </si>
  <si>
    <t>Overview of Material Codes Referenced by the IBC</t>
  </si>
  <si>
    <t>International building code | Construction permits | Wood structures | Structural requirements | Steel | IBC codes for concrete</t>
  </si>
  <si>
    <t>Civil engineering | Industrial engineering | Materials engineering</t>
  </si>
  <si>
    <t>https://www.accessengineeringlibrary.com/content/video/V6339534704112</t>
  </si>
  <si>
    <t>Series Overview and Example Building Project</t>
  </si>
  <si>
    <t>Building codes | International building code | Steel | Code requirements | Seismic design | Wood framing</t>
  </si>
  <si>
    <t>https://www.accessengineeringlibrary.com/content/video/V6339534792112</t>
  </si>
  <si>
    <t>The IBC and Referenced Codes and Standards</t>
  </si>
  <si>
    <t>International building code | Structural engineering | Steel | Masonry design | Design load | Construction costs</t>
  </si>
  <si>
    <t>Civil engineering | Materials engineering | Mechanical engineering | Business skills | Engineering management</t>
  </si>
  <si>
    <t>https://www.accessengineeringlibrary.com/content/video/V6339535189112</t>
  </si>
  <si>
    <t>Review of IBC Chapter 19 - Concrete</t>
  </si>
  <si>
    <t>IBC codes for concrete | Reinforced concrete design | International building code | Design requirements | Concrete | Structural requirements</t>
  </si>
  <si>
    <t>https://www.accessengineeringlibrary.com/content/video/V6339535478112</t>
  </si>
  <si>
    <t>Statics: How to Use This Course Successfully Plus Book!</t>
  </si>
  <si>
    <t>How to Ace Statics with Jeff Hanson</t>
  </si>
  <si>
    <t>Statics</t>
  </si>
  <si>
    <t>https://www.accessengineeringlibrary.com/content/video/YT9781264278305_01</t>
  </si>
  <si>
    <t>Statics: Lesson 1 - Intro and Newton's Laws, Scalers, and Vectors</t>
  </si>
  <si>
    <t>Statics | Scalars | Newtons laws of motion | Mass | Acceleration | Inertia</t>
  </si>
  <si>
    <t>Civil engineering | Mechanical engineering | Mathematics | Aerospace engineering | Sciences</t>
  </si>
  <si>
    <t>https://www.accessengineeringlibrary.com/content/video/YT9781264278305_02</t>
  </si>
  <si>
    <t>Statics: Lesson 2 - Vector Language, Intro to Vector Addition</t>
  </si>
  <si>
    <t>Statics | Vector addition | Triangles | Gases | Right triangles | Vectors</t>
  </si>
  <si>
    <t>https://www.accessengineeringlibrary.com/content/video/YT9781264278305_03</t>
  </si>
  <si>
    <t>Statics: Lesson 3 - The Triangle Rule for Adding Vectors to Find a Resultant</t>
  </si>
  <si>
    <t>Triangles | Statics | Right triangles | Vector addition | Trigonometry | Law of sines</t>
  </si>
  <si>
    <t>https://www.accessengineeringlibrary.com/content/video/YT9781264278305_04</t>
  </si>
  <si>
    <t>Statics: Lesson 4- Vector Addition, Triangle Rule, and Cartesian and Vector Notation</t>
  </si>
  <si>
    <t>Triangles | Statics | Vector addition | Vectors | Sine | Cosine</t>
  </si>
  <si>
    <t>https://www.accessengineeringlibrary.com/content/video/YT9781264278305_05</t>
  </si>
  <si>
    <t>Statics: Lesson 5 - 2D Find Resultant Vectors, Triangle Rule, Cartesian Components</t>
  </si>
  <si>
    <t>Triangles | Statics | Vectors | Cosine | Sine | Right triangles</t>
  </si>
  <si>
    <t>https://www.accessengineeringlibrary.com/content/video/YT9781264278305_06</t>
  </si>
  <si>
    <t>Statics: Lesson 6 - Most Missed Topic in Statics, Cartesian Coordinates</t>
  </si>
  <si>
    <t>Statics | Sine | Cosine | Trigonometry | Triangles | Right triangles</t>
  </si>
  <si>
    <t>https://www.accessengineeringlibrary.com/content/video/YT9781264278305_07</t>
  </si>
  <si>
    <t>Statics: Lesson 7 - Finding Vector Components in Non-Orthogonal Systems</t>
  </si>
  <si>
    <t>Statics | Triangles | Law of sines | Sine | Law of cosines | Audio systems</t>
  </si>
  <si>
    <t>Civil engineering | Mechanical engineering | Mathematics | Electrical engineering</t>
  </si>
  <si>
    <t>https://www.accessengineeringlibrary.com/content/video/YT9781264278305_08</t>
  </si>
  <si>
    <t>Statics: Lesson 8 - Intro to 3D Vectors, Deriving Blue Triangle Equations (Spherical Coordinates)</t>
  </si>
  <si>
    <t>Triangles | Statics | Vectors | Sine | Doors | Cosine</t>
  </si>
  <si>
    <t>https://www.accessengineeringlibrary.com/content/video/YT9781264278305_09</t>
  </si>
  <si>
    <t>Statics: Lesson 9 - Drill Problems Practicing Blue Triangle Problems (Spherical Coordinates)</t>
  </si>
  <si>
    <t>Statics | Triangles | Vectors</t>
  </si>
  <si>
    <t>https://www.accessengineeringlibrary.com/content/video/YT9781264278305_10</t>
  </si>
  <si>
    <t>Statics: Lesson 10 - Directional Cosines for 3D Vectors and Components</t>
  </si>
  <si>
    <t>Cosine | Statics | Triangles | Vectors | Unit vectors | Right triangles</t>
  </si>
  <si>
    <t>https://www.accessengineeringlibrary.com/content/video/YT9781264278305_11</t>
  </si>
  <si>
    <t>Statics: Lesson 11 - Finding 3D Vectors When Given Coordinates</t>
  </si>
  <si>
    <t>Statics | Vectors | Unit vectors | Loading vector | Tension | Triangles</t>
  </si>
  <si>
    <t>https://www.accessengineeringlibrary.com/content/video/YT9781264278305_12</t>
  </si>
  <si>
    <t>Statics: Lesson 12 - Statics About a Particle, 3D Resultant of Vector Forces</t>
  </si>
  <si>
    <t>Statics | Cosine | Sine | Triangles | Loading vector | Vectors</t>
  </si>
  <si>
    <t>https://www.accessengineeringlibrary.com/content/video/YT9781264278305_13</t>
  </si>
  <si>
    <t>Statics: Lesson 13 - Dot Product for Angles Between Vectors and Projections</t>
  </si>
  <si>
    <t>Dot product | Statics | Cosine | Vectors | Scalars | Triangles</t>
  </si>
  <si>
    <t>https://www.accessengineeringlibrary.com/content/video/YT9781264278305_14</t>
  </si>
  <si>
    <t>Statics: Lesson 14 - Using Scalar Equations to Solve for 2 Unknowns</t>
  </si>
  <si>
    <t>Statics | Scalars | Sine | Cosine | Static equilibrium | Triangles</t>
  </si>
  <si>
    <t>https://www.accessengineeringlibrary.com/content/video/YT9781264278305_15</t>
  </si>
  <si>
    <t>Statics: Lesson 15 - Proving There's No Such Thing as Straight Strings</t>
  </si>
  <si>
    <t>Statics | Scalars | Tension | Sine | Traffic signals | Mass</t>
  </si>
  <si>
    <t>https://www.accessengineeringlibrary.com/content/video/YT9781264278305_16</t>
  </si>
  <si>
    <t>Statics: Lesson 16 - Equilibrium of a Particle, 2D Forces Around a Pulley</t>
  </si>
  <si>
    <t>Pulleys | Statics | Static equilibrium | Tension | Sine | Belts</t>
  </si>
  <si>
    <t>https://www.accessengineeringlibrary.com/content/video/YT9781264278305_17</t>
  </si>
  <si>
    <t>Statics: Lesson 17 - 2D Equilibrium of a Particle with Springs</t>
  </si>
  <si>
    <t>Mechanical springs | Statics | Cosine | Pulleys | Force | Tension</t>
  </si>
  <si>
    <t>Mechanical engineering | Civil engineering | Mathematics | Sciences</t>
  </si>
  <si>
    <t>https://www.accessengineeringlibrary.com/content/video/YT9781264278305_18</t>
  </si>
  <si>
    <t>Statics: Lesson 18 - 2D Statics on a Particle, Multiple Free Body Diagrams</t>
  </si>
  <si>
    <t>Statics | Triangles | Tension | Pulleys | Diggings | Mechanical cables</t>
  </si>
  <si>
    <t>https://www.accessengineeringlibrary.com/content/video/YT9781264278305_19</t>
  </si>
  <si>
    <t>Statics: Lesson 19 - 3D Statics About a Particle, Calculating Unit Vectors</t>
  </si>
  <si>
    <t>Statics | Unit vectors | Tension | Algebra | Wake flow | Triangles</t>
  </si>
  <si>
    <t>Civil engineering | Mechanical engineering | Mathematics | Sciences | Chemical engineering</t>
  </si>
  <si>
    <t>https://www.accessengineeringlibrary.com/content/video/YT9781264278305_20</t>
  </si>
  <si>
    <t>Statics: Lesson 20 - 3 Equations and Unknowns, 3D Vectors</t>
  </si>
  <si>
    <t>Statics | System of equations | Sine | Unit vectors | Scalars | Position vectors</t>
  </si>
  <si>
    <t>https://www.accessengineeringlibrary.com/content/video/YT9781264278305_21</t>
  </si>
  <si>
    <t>Statics: Lesson 21 - Introduction to Moments rXF, Torque</t>
  </si>
  <si>
    <t>Statics | Torque | Rigid bodies | Position vectors | Deformation | Cross product</t>
  </si>
  <si>
    <t>Civil engineering | Mechanical engineering | Sciences | Mathematics | Industrial engineering | Materials engineering</t>
  </si>
  <si>
    <t>https://www.accessengineeringlibrary.com/content/video/YT9781264278305_22</t>
  </si>
  <si>
    <t>Statics: Lesson 22 - 2D Moment About a Point, 2 Methods</t>
  </si>
  <si>
    <t>Statics | Bending moment diagrams | Spin | Sine | Triangles | Position vectors</t>
  </si>
  <si>
    <t>https://www.accessengineeringlibrary.com/content/video/YT9781264278305_23</t>
  </si>
  <si>
    <t>Statics: Lesson 23 - 2D Min Max Moment Calculation</t>
  </si>
  <si>
    <t>Statics | Bending moment diagrams | Spin | Bolts | Tension | Sine</t>
  </si>
  <si>
    <t>https://www.accessengineeringlibrary.com/content/video/YT9781264278305_24</t>
  </si>
  <si>
    <t>Statics: Lesson 24 - 3D Moment About a Point and rXF Example</t>
  </si>
  <si>
    <t>Statics | Position vectors | Pipes | Loading vector | Cosine</t>
  </si>
  <si>
    <t>https://www.accessengineeringlibrary.com/content/video/YT9781264278305_25</t>
  </si>
  <si>
    <t>Statics: Lesson 25 - Moment About a Specified Axis</t>
  </si>
  <si>
    <t>Statics | Axial members | Scalars | Dot product | Position vectors | Cosine</t>
  </si>
  <si>
    <t>https://www.accessengineeringlibrary.com/content/video/YT9781264278305_26</t>
  </si>
  <si>
    <t>Statics: Lesson 26 - Moment of a Couple in 3D</t>
  </si>
  <si>
    <t>Statics | Spin | Sine | Cosine</t>
  </si>
  <si>
    <t>https://www.accessengineeringlibrary.com/content/video/YT9781264278305_27</t>
  </si>
  <si>
    <t>Statics: Lesson 27 - Equivalent Systems Simplification, Burrito Force!</t>
  </si>
  <si>
    <t>Statics | Sine | Cosine | Triangles | Programming errors | Fans</t>
  </si>
  <si>
    <t>Civil engineering | Mechanical engineering | Mathematics | Computer science | Aerospace engineering | Chemical engineering</t>
  </si>
  <si>
    <t>https://www.accessengineeringlibrary.com/content/video/YT9781264278305_28</t>
  </si>
  <si>
    <t>Statics: Lesson 28 - Equivalent Systems, Further Simplification</t>
  </si>
  <si>
    <t>Statics | Resultant number</t>
  </si>
  <si>
    <t>https://www.accessengineeringlibrary.com/content/video/YT9781264278305_29</t>
  </si>
  <si>
    <t>Statics: Lesson 29 - 2D Reaction at Supports, Example Problem</t>
  </si>
  <si>
    <t>Statics | Static equilibrium | Chemical equilibrium | Spin | Wood | Steel</t>
  </si>
  <si>
    <t>Civil engineering | Mechanical engineering | Chemical engineering | Sciences | Materials engineering</t>
  </si>
  <si>
    <t>https://www.accessengineeringlibrary.com/content/video/YT9781264278305_30</t>
  </si>
  <si>
    <t>Statics: Lesson 30 - 3D Reaction Forces Illustrated</t>
  </si>
  <si>
    <t>Statics | Journal bearings | Static equilibrium | Chemical equilibrium | Spin | Pipes</t>
  </si>
  <si>
    <t>Civil engineering | Mechanical engineering | Chemical engineering | Sciences</t>
  </si>
  <si>
    <t>https://www.accessengineeringlibrary.com/content/video/YT9781264278305_31</t>
  </si>
  <si>
    <t>Statics: Lesson 31 - System Equilibrium, 2D Reactions at the Supports</t>
  </si>
  <si>
    <t>Statics | Chemical equilibrium | Static equilibrium | Tension | Triangles | Right triangles</t>
  </si>
  <si>
    <t>Civil engineering | Mechanical engineering | Chemical engineering | Sciences | Mathematics</t>
  </si>
  <si>
    <t>https://www.accessengineeringlibrary.com/content/video/YT9781264278305_32</t>
  </si>
  <si>
    <t>Statics: Lesson 32 - Fixed Support 2D Reaction Force Problem</t>
  </si>
  <si>
    <t>Statics | Static equilibrium | Chemical equilibrium | Pulleys | Welding | Tension</t>
  </si>
  <si>
    <t>Civil engineering | Mechanical engineering | Chemical engineering | Industrial engineering | Materials engineering | Sciences</t>
  </si>
  <si>
    <t>https://www.accessengineeringlibrary.com/content/video/YT9781264278305_33</t>
  </si>
  <si>
    <t>Statics: Lesson 33 - 2D Reactions at the Supports with a Pulley</t>
  </si>
  <si>
    <t>Statics | Pulleys | Static equilibrium | Chemical equilibrium | Tension | Mechanical cables</t>
  </si>
  <si>
    <t>https://www.accessengineeringlibrary.com/content/video/YT9781264278305_34</t>
  </si>
  <si>
    <t>Statics: Lesson 34 - Tipping Problem, Reactions in 2D</t>
  </si>
  <si>
    <t>Statics | Forklifts | Centers of gravity</t>
  </si>
  <si>
    <t>https://www.accessengineeringlibrary.com/content/video/YT9781264278305_35</t>
  </si>
  <si>
    <t>Statics: Lesson 35 - 3D Equilibrium of a Rigid Body, 6 Equations</t>
  </si>
  <si>
    <t>Statics | Rigid bodies | Spin | Finite element analysis</t>
  </si>
  <si>
    <t>https://www.accessengineeringlibrary.com/content/video/YT9781264278305_36</t>
  </si>
  <si>
    <t>Statics: Lesson 36 - 3D Reaction Force Problem, Rigid Body Equilibrium</t>
  </si>
  <si>
    <t>Statics | Static equilibrium | Rigid bodies | Chemical equilibrium | Spin | Tension</t>
  </si>
  <si>
    <t>https://www.accessengineeringlibrary.com/content/video/YT9781264278305_37</t>
  </si>
  <si>
    <t>Statics: Lesson 37 - Intro to Centroids, Where is the Center of Texas?</t>
  </si>
  <si>
    <t>Centers of mass | Statics | Centers of gravity | Volume | Hydrostatic pressure | Geometric centroid</t>
  </si>
  <si>
    <t>Sciences | Civil engineering | Mechanical engineering | Chemical engineering</t>
  </si>
  <si>
    <t>https://www.accessengineeringlibrary.com/content/video/YT9781264278305_38</t>
  </si>
  <si>
    <t>Statics: Lesson 38 - Intro, Centroids by Composite Shapes, Table Method</t>
  </si>
  <si>
    <t>Centers of mass | Statics | Geometric equations | Geometric properties of areas | Geometric centroid | Composites</t>
  </si>
  <si>
    <t>https://www.accessengineeringlibrary.com/content/video/YT9781264278305_39</t>
  </si>
  <si>
    <t>Statics: Lesson 39 - Centroid Using Composite Shapes, Center of Area</t>
  </si>
  <si>
    <t>Statics | Centers of mass | Geometric centroid | Geometric equations | Geometric properties of areas | Composites</t>
  </si>
  <si>
    <t>Civil engineering | Mechanical engineering | Sciences | Mathematics | Materials engineering</t>
  </si>
  <si>
    <t>https://www.accessengineeringlibrary.com/content/video/YT9781264278305_40</t>
  </si>
  <si>
    <t>Statics: Lesson 40 - Centroid of a Volume, Table Method</t>
  </si>
  <si>
    <t>Statics | Centers of mass | Geometric equations | Volume | Geometric properties of areas | Composites</t>
  </si>
  <si>
    <t>Civil engineering | Mechanical engineering | Sciences | Mathematics | Chemical engineering | Materials engineering</t>
  </si>
  <si>
    <t>https://www.accessengineeringlibrary.com/content/video/YT9781264278305_41</t>
  </si>
  <si>
    <t>Statics: Lesson 41 - Centroid of Mass, Body with Different Densities</t>
  </si>
  <si>
    <t>Centers of mass | Statics | Mass | Geometric equations | Density | Composites</t>
  </si>
  <si>
    <t>https://www.accessengineeringlibrary.com/content/video/YT9781264278305_42</t>
  </si>
  <si>
    <t>Statics: Lesson 42 - Intro to Centroid by Calculus Method, Flip the Strip Method</t>
  </si>
  <si>
    <t>Centers of mass | Statics | Calculus | Geometric centroid | Triangles | Derivatives</t>
  </si>
  <si>
    <t>https://www.accessengineeringlibrary.com/content/video/YT9781264278305_43</t>
  </si>
  <si>
    <t>Statics: Lesson 43 - Centroids by Calculus Example Problem</t>
  </si>
  <si>
    <t>Statics | Centers of mass | Calculus | Geometric centroid | Derivatives | Integrals</t>
  </si>
  <si>
    <t>https://www.accessengineeringlibrary.com/content/video/YT9781264278305_44</t>
  </si>
  <si>
    <t>Statics: Lesson 44 - Very Challenging Centroids by Calculus Problem</t>
  </si>
  <si>
    <t>Centers of mass | Statics | Calculus | Geometric centroid | Derivatives | Algebra</t>
  </si>
  <si>
    <t>https://www.accessengineeringlibrary.com/content/video/YT9781264278305_45</t>
  </si>
  <si>
    <t>Statics: Lesson 45 - The Theorem of Pappus Guldinus, Volume and Surface Area</t>
  </si>
  <si>
    <t>Statics | Volume | Triangles | Centers of mass | Surface topography | Hacking</t>
  </si>
  <si>
    <t>Civil engineering | Mechanical engineering | Chemical engineering | Sciences | Mathematics | Materials engineering | Computer engineering | Industrial engineering | Electrical engineering</t>
  </si>
  <si>
    <t>https://www.accessengineeringlibrary.com/content/video/YT9781264278305_46</t>
  </si>
  <si>
    <t>Statics: Lesson 46 - Distributed Loads Using Centroids</t>
  </si>
  <si>
    <t>Statics | Centers of mass | Static load | Static equilibrium | Parabolas | Chemical equilibrium</t>
  </si>
  <si>
    <t>Civil engineering | Mechanical engineering | Sciences | Mathematics | Chemical engineering</t>
  </si>
  <si>
    <t>https://www.accessengineeringlibrary.com/content/video/YT9781264278305_47</t>
  </si>
  <si>
    <t>Statics: Lesson 47 - Intro to Trusses, Frames, and Machines</t>
  </si>
  <si>
    <t>Trusses | Frame structures | Statics | Method of joints | Method of sections | Internal force</t>
  </si>
  <si>
    <t>https://www.accessengineeringlibrary.com/content/video/YT9781264278305_48</t>
  </si>
  <si>
    <t>Statics: Lesson 48 - Trusses, Method of Joints</t>
  </si>
  <si>
    <t>Statics | Method of joints | Trusses | Static equilibrium | Tension | Compression members</t>
  </si>
  <si>
    <t>https://www.accessengineeringlibrary.com/content/video/YT9781264278305_49</t>
  </si>
  <si>
    <t>Statics: Lesson 49 - Trusses, The Method of Sections</t>
  </si>
  <si>
    <t>Method of sections | Trusses | Statics | Method of joints | Internal force | Tension</t>
  </si>
  <si>
    <t>https://www.accessengineeringlibrary.com/content/video/YT9781264278305_50</t>
  </si>
  <si>
    <t>Statics: Lesson 50 - Trusses, How to Find a Zero Force Member, Method of Joints</t>
  </si>
  <si>
    <t>Trusses | Statics | Method of joints | Internal force | Tension | Sine</t>
  </si>
  <si>
    <t>https://www.accessengineeringlibrary.com/content/video/YT9781264278305_51</t>
  </si>
  <si>
    <t>Statics: Lesson 51 - Trusses, Method of Sections, Truss Tips and Tricks</t>
  </si>
  <si>
    <t>Trusses | Statics | Method of sections | Internal force | Tension | Triangles</t>
  </si>
  <si>
    <t>https://www.accessengineeringlibrary.com/content/video/YT9781264278305_52</t>
  </si>
  <si>
    <t>Statics: Lesson 52 - Truss Problem, The Combo Problem</t>
  </si>
  <si>
    <t>Trusses | Statics | Method of sections | Method of joints | Internal force | Engineering problem solving</t>
  </si>
  <si>
    <t>Civil engineering | Mechanical engineering | Engineering management</t>
  </si>
  <si>
    <t>https://www.accessengineeringlibrary.com/content/video/YT9781264278305_53</t>
  </si>
  <si>
    <t>Statics: Lesson 53 - Frame Problem with 2 (Two) Force Members</t>
  </si>
  <si>
    <t>Frame structures | Statics | Tension | Cosine | Sine | Trusses</t>
  </si>
  <si>
    <t>https://www.accessengineeringlibrary.com/content/video/YT9781264278305_54</t>
  </si>
  <si>
    <t>Statics: Lesson 54 - More Difficult Frame Problem</t>
  </si>
  <si>
    <t>Statics | Frame structures | Cosine | Sine | Rigid bodies | Wind load</t>
  </si>
  <si>
    <t>https://www.accessengineeringlibrary.com/content/video/YT9781264278305_55</t>
  </si>
  <si>
    <t>Statics: Lesson 55 - Machine Problem, You Must Know How to Do This!</t>
  </si>
  <si>
    <t>Statics | Sine | Cosine | Trusses | Triangles | Tension</t>
  </si>
  <si>
    <t>https://www.accessengineeringlibrary.com/content/video/YT9781264278305_56</t>
  </si>
  <si>
    <t>Statics: Lesson 56 - Pulley Palooza Problems</t>
  </si>
  <si>
    <t>Pulleys | Statics | Tension</t>
  </si>
  <si>
    <t>https://www.accessengineeringlibrary.com/content/video/YT9781264278305_57</t>
  </si>
  <si>
    <t>Statics: Lesson 57 - Introduction to Internal Forces, M N V</t>
  </si>
  <si>
    <t>Statics | Internal force | Shear force | Bending moment | Trusses | Tension</t>
  </si>
  <si>
    <t>https://www.accessengineeringlibrary.com/content/video/YT9781264278305_58</t>
  </si>
  <si>
    <t>Statics: Lesson 58 - Internal Forces M, N, V on a Frame Problem</t>
  </si>
  <si>
    <t>Statics | Internal force | Frame structures | Shear force | Bending moment | Pulleys</t>
  </si>
  <si>
    <t>https://www.accessengineeringlibrary.com/content/video/YT9781264278305_59</t>
  </si>
  <si>
    <t>Statics: Lesson 59 - Shear Moment Diagram, The Graphic Method</t>
  </si>
  <si>
    <t>Statics | Bending moment diagrams | Shear diagrams | Shear force | Bending moment | Parabolas</t>
  </si>
  <si>
    <t>https://www.accessengineeringlibrary.com/content/video/YT9781264278305_60</t>
  </si>
  <si>
    <t>Statics: Lesson 60 - Shear Moment Diagram Problem with Moments</t>
  </si>
  <si>
    <t>Statics | Shear diagrams | Bending moment diagrams | Shear load | Parabolas | Deflection</t>
  </si>
  <si>
    <t>https://www.accessengineeringlibrary.com/content/video/YT9781264278305_61</t>
  </si>
  <si>
    <t>Statics: Lesson 61 - Shear Moment Diagram, The Equation Method</t>
  </si>
  <si>
    <t>Bending moment diagrams | Statics | Shear diagrams | Parabolas | Centers of mass | Triangles</t>
  </si>
  <si>
    <t>https://www.accessengineeringlibrary.com/content/video/YT9781264278305_62</t>
  </si>
  <si>
    <t>Statics: Lesson 62 - Friction is Fun, Box on an Incline</t>
  </si>
  <si>
    <t>Statics | Coefficient of friction | Force | Friction | Kinetics | Sine</t>
  </si>
  <si>
    <t>https://www.accessengineeringlibrary.com/content/video/YT9781264278305_63</t>
  </si>
  <si>
    <t>Statics: Lesson 63 - Friction Slipping Tipping Problem</t>
  </si>
  <si>
    <t>Statics | Friction | Coefficient of friction</t>
  </si>
  <si>
    <t>https://www.accessengineeringlibrary.com/content/video/YT9781264278305_64</t>
  </si>
  <si>
    <t>Statics: Lesson 64 - Friction on Wedges, Example Problems</t>
  </si>
  <si>
    <t>Statics | Friction | Sine | Cosine | Static friction</t>
  </si>
  <si>
    <t>https://www.accessengineeringlibrary.com/content/video/YT9781264278305_65</t>
  </si>
  <si>
    <t>Statics: Lesson 65 - Challenging Friction Wedge Problem with Roller</t>
  </si>
  <si>
    <t>Statics | Friction | Sine | Spin | Cosine | Wall friction</t>
  </si>
  <si>
    <t>https://www.accessengineeringlibrary.com/content/video/YT9781264278305_66</t>
  </si>
  <si>
    <t>Statics: Lesson 66 - Belt Friction Example Problem</t>
  </si>
  <si>
    <t>Belts | Statics | Tension | Pulleys | Trigonometric functions | Static friction</t>
  </si>
  <si>
    <t>Mechanical engineering | Civil engineering | Sciences | Mathematics | Materials engineering</t>
  </si>
  <si>
    <t>https://www.accessengineeringlibrary.com/content/video/YT9781264278305_67</t>
  </si>
  <si>
    <t>Statics: Lesson 67 - Introduction to Area Moment of Inertia</t>
  </si>
  <si>
    <t>Statics | Moment of inertia | Geometric properties of areas | Parallel axis theorem | Centers of mass | Structural beams</t>
  </si>
  <si>
    <t>https://www.accessengineeringlibrary.com/content/video/YT9781264278305_68</t>
  </si>
  <si>
    <t>Statics: Lesson 68 - Parallel Axis Theorem, Area Moment of Inertia</t>
  </si>
  <si>
    <t>Parallel axis theorem | Statics | Moment of inertia | Centers of mass | Triangles | Volume</t>
  </si>
  <si>
    <t>https://www.accessengineeringlibrary.com/content/video/YT9781264278305_69</t>
  </si>
  <si>
    <t>Statics: Lesson 69 - Moment of Inertia, Composite Shape Method</t>
  </si>
  <si>
    <t>Statics | Moment of inertia | Centers of mass | Parallel axis theorem | Triangles | Circles</t>
  </si>
  <si>
    <t>https://www.accessengineeringlibrary.com/content/video/YT9781264278305_70</t>
  </si>
  <si>
    <t>Statics: Lesson 70 - Area Moment of Inertia, Calculus Method</t>
  </si>
  <si>
    <t>Statics | Moment of inertia | Calculus | Parallel axis theorem | Derivatives | Centers of mass</t>
  </si>
  <si>
    <t>https://www.accessengineeringlibrary.com/content/video/YT9781264278305_71</t>
  </si>
  <si>
    <t>Statics: Lesson 71 - Statics Conclusion and Farewell! What's Next?</t>
  </si>
  <si>
    <t>Statics | Static equilibrium | Rigid bodies | Friction | Calculus | Trusses</t>
  </si>
  <si>
    <t>Civil engineering | Mechanical engineering | Sciences | Materials engineering | Mathematics</t>
  </si>
  <si>
    <t>https://www.accessengineeringlibrary.com/content/video/YT9781264278305_72</t>
  </si>
  <si>
    <t>Statics: Final Exam Review Summary</t>
  </si>
  <si>
    <t>Statics | Centers of mass | Calculus | Unit vectors | Trusses | Parallel axis theorem</t>
  </si>
  <si>
    <t>https://www.accessengineeringlibrary.com/content/video/YT9781264278305_73</t>
  </si>
  <si>
    <t>Statics: Exam 1 - Review Summary</t>
  </si>
  <si>
    <t>Statics | Cosine | Triangles | Tension | Finite element analysis | Vector addition</t>
  </si>
  <si>
    <t>https://www.accessengineeringlibrary.com/content/video/YT9781264278305_74</t>
  </si>
  <si>
    <t>Statics: Exam 1 Review Problem 1, 3D Vector Addition</t>
  </si>
  <si>
    <t>Statics | Vector addition | Cosine | Sine | Triangles | Vectors</t>
  </si>
  <si>
    <t>https://www.accessengineeringlibrary.com/content/video/YT9781264278305_75</t>
  </si>
  <si>
    <t>Statics: Exam 1 Review Problem 2, 2D Forces on a Particle</t>
  </si>
  <si>
    <t>Statics | Sine | Tension | Pulleys | Cosine | Mechanical cables</t>
  </si>
  <si>
    <t>https://www.accessengineeringlibrary.com/content/video/YT9781264278305_76</t>
  </si>
  <si>
    <t>Statics: Exam 1 Review Problem 3, 3D Statics on a Particle</t>
  </si>
  <si>
    <t>Statics | Mechanical cables | Tension | Pulleys | Finite element analysis | Algebra</t>
  </si>
  <si>
    <t>https://www.accessengineeringlibrary.com/content/video/YT9781264278305_77</t>
  </si>
  <si>
    <t>Statics: Exam 1 Review Problem 4, 2D Moment Example</t>
  </si>
  <si>
    <t>Statics | Sine | Spin</t>
  </si>
  <si>
    <t>https://www.accessengineeringlibrary.com/content/video/YT9781264278305_78</t>
  </si>
  <si>
    <t>Statics: Exam1 Review Problem 5, 3D rXF Moment Example</t>
  </si>
  <si>
    <t>Statics | Finite element analysis | Position vectors | Vectors | Loading vector</t>
  </si>
  <si>
    <t>https://www.accessengineeringlibrary.com/content/video/YT9781264278305_79</t>
  </si>
  <si>
    <t>Statics: Exam 2 Review Summary</t>
  </si>
  <si>
    <t>Statics | Trusses | Method of sections | Method of joints | Algebra</t>
  </si>
  <si>
    <t>https://www.accessengineeringlibrary.com/content/video/YT9781264278305_80</t>
  </si>
  <si>
    <t>Statics: Exam 2 Review Problem 1; Equivalent Systems""</t>
  </si>
  <si>
    <t>How to Ace Statics with Jeff Hanson""</t>
  </si>
  <si>
    <t>Jeff Hanson""</t>
  </si>
  <si>
    <t>Statics | Sine | Cosine""</t>
  </si>
  <si>
    <t>Civil engineering | Mechanical engineering | Mathematics""</t>
  </si>
  <si>
    <t>https://www.accessengineeringlibrary.com/content/video/YT9781264278305_81</t>
  </si>
  <si>
    <t>Statics: Exam 2 Review Problem 2; 2D Reaction Forces""</t>
  </si>
  <si>
    <t>Statics | Sine | Tension | Cosine | Tension members | Hinges""</t>
  </si>
  <si>
    <t>Civil engineering | Mechanical engineering | Mathematics | Sciences""</t>
  </si>
  <si>
    <t>https://www.accessengineeringlibrary.com/content/video/YT9781264278305_82</t>
  </si>
  <si>
    <t>Statics: Exam 2 Review Problem 3; 3D Reaction Example""</t>
  </si>
  <si>
    <t>Statics | Tension | Spin | Brackets | Unit vectors | Loading vector""</t>
  </si>
  <si>
    <t>Civil engineering | Mechanical engineering | Sciences | Mathematics""</t>
  </si>
  <si>
    <t>https://www.accessengineeringlibrary.com/content/video/YT9781264278305_83</t>
  </si>
  <si>
    <t>Statics: Exam 2 Review Problem 4, Centroid Composite Shape</t>
  </si>
  <si>
    <t>Statics | Centers of mass | Circles | Triangles | Sheet metal</t>
  </si>
  <si>
    <t>https://www.accessengineeringlibrary.com/content/video/YT9781264278305_84</t>
  </si>
  <si>
    <t>Statics: Exam 2 Review Problem 5, Centroid by Calculus</t>
  </si>
  <si>
    <t>Statics | Calculus | Centers of mass | Derivatives | Algebra</t>
  </si>
  <si>
    <t>https://www.accessengineeringlibrary.com/content/video/YT9781264278305_85</t>
  </si>
  <si>
    <t>Statics: Exam 2 Review Problem 6, Theorem of Pappus Guldinus</t>
  </si>
  <si>
    <t>Statics | Volume | Centers of mass | Triangles | Surface topography | Circles</t>
  </si>
  <si>
    <t>https://www.accessengineeringlibrary.com/content/video/YT9781264278305_86</t>
  </si>
  <si>
    <t>Statics: Exam 3 Review Summary</t>
  </si>
  <si>
    <t>Statics | Centers of mass | Shear diagrams | Bending moment diagrams | Shear force | Internal force</t>
  </si>
  <si>
    <t>https://www.accessengineeringlibrary.com/content/video/YT9781264278305_87</t>
  </si>
  <si>
    <t>Statics: Exam 3 Review Problem 1; Truss Combo Method""</t>
  </si>
  <si>
    <t>Statics | Trusses | Tension | Cosine | Sine | Method of sections""</t>
  </si>
  <si>
    <t>https://www.accessengineeringlibrary.com/content/video/YT9781264278305_88</t>
  </si>
  <si>
    <t>Statics: Exam 3 Review Problem 2; Frame Example""</t>
  </si>
  <si>
    <t>Statics | Frame structures | Pulleys | Grounding and earthing systems""</t>
  </si>
  <si>
    <t>Civil engineering | Mechanical engineering | Electrical engineering | Energy engineering""</t>
  </si>
  <si>
    <t>https://www.accessengineeringlibrary.com/content/video/YT9781264278305_89</t>
  </si>
  <si>
    <t>Statics: Exam 3 Review Problem 3, Internal Forces M, N, V</t>
  </si>
  <si>
    <t>Statics | Internal force | Pulleys | Sine | Tension | Cosine</t>
  </si>
  <si>
    <t>https://www.accessengineeringlibrary.com/content/video/YT9781264278305_90</t>
  </si>
  <si>
    <t>Statics: Exam 3 Review Problem 4, Shear Moment Diagram Example</t>
  </si>
  <si>
    <t>Statics | Shear diagrams | Bending moment diagrams | Parabolas | Shear force | Triangles</t>
  </si>
  <si>
    <t>https://www.accessengineeringlibrary.com/content/video/YT9781264278305_91</t>
  </si>
  <si>
    <t>Statics: Exam 3 Review Problem 5, Simple Friction is Fun</t>
  </si>
  <si>
    <t>Statics | Sine | Friction | Cosine | Tension | Pulleys</t>
  </si>
  <si>
    <t>Civil engineering | Mechanical engineering | Mathematics | Materials engineering | Sciences</t>
  </si>
  <si>
    <t>https://www.accessengineeringlibrary.com/content/video/YT9781264278305_92</t>
  </si>
  <si>
    <t>Statics: Exam 3 Review Problem 6, Friction Slipping Tipping</t>
  </si>
  <si>
    <t>Statics | Friction | Coefficient of friction | Centers of mass</t>
  </si>
  <si>
    <t>https://www.accessengineeringlibrary.com/content/video/YT9781264278305_93</t>
  </si>
  <si>
    <t>Statics: Exam 3 Review Problem 7, Friction Wedge Example</t>
  </si>
  <si>
    <t>Statics | Friction | Sine | Wall friction | Grinding | Cosine</t>
  </si>
  <si>
    <t>Civil engineering | Mechanical engineering | Materials engineering | Sciences | Mathematics | Industrial engineering</t>
  </si>
  <si>
    <t>https://www.accessengineeringlibrary.com/content/video/YT9781264278305_94</t>
  </si>
  <si>
    <t>Schaum's Calculus Supplementary Problem 28.12 Video Solution</t>
  </si>
  <si>
    <t>https://www.accessengineeringlibrary.com/content/video/V1402345871001</t>
  </si>
  <si>
    <t>Schaum's Calculus Supplementary Problem 24.22 Video Solution</t>
  </si>
  <si>
    <t>Calculus | Definite integrals | Fundamental theorem of calculus | Cosine | Sine</t>
  </si>
  <si>
    <t>https://www.accessengineeringlibrary.com/content/video/V1402345872001</t>
  </si>
  <si>
    <t>Schaum's Calculus Supplementary Problem 19.16 Video Solution</t>
  </si>
  <si>
    <t>Calculus | Gravity | Rectilinear motion | Velocity | Rocks | Acceleration</t>
  </si>
  <si>
    <t>https://www.accessengineeringlibrary.com/content/video/V1402345873001</t>
  </si>
  <si>
    <t>Schaum's Calculus Supplementary Problem 17.28 Video Solution</t>
  </si>
  <si>
    <t>Calculus | Differential equations | Trigonometric functions | Sine | Cosine | Chain rules</t>
  </si>
  <si>
    <t>https://www.accessengineeringlibrary.com/content/video/V1402345874001</t>
  </si>
  <si>
    <t>Schaum's Calculus Supplementary Problem 16.19 Video Solution</t>
  </si>
  <si>
    <t>Calculus | Cosine | Sine | Trigonometric functions</t>
  </si>
  <si>
    <t>https://www.accessengineeringlibrary.com/content/video/V1402345876001</t>
  </si>
  <si>
    <t>Schaum's Calculus Supplementary Problem 11.4 Video Solution</t>
  </si>
  <si>
    <t>Calculus | Derivatives</t>
  </si>
  <si>
    <t>https://www.accessengineeringlibrary.com/content/video/V1402345878001</t>
  </si>
  <si>
    <t>Schaum's Calculus Supplementary Problem 10.39 Video Solution</t>
  </si>
  <si>
    <t>Calculus | Chain rules | Exponents | Derivatives</t>
  </si>
  <si>
    <t>https://www.accessengineeringlibrary.com/content/video/V1402345879001</t>
  </si>
  <si>
    <t>Schaum's Calculus Supplementary Problem 57.16 Video Solution</t>
  </si>
  <si>
    <t>Calculus | Cosine | Sine | Integrals</t>
  </si>
  <si>
    <t>https://www.accessengineeringlibrary.com/content/video/V1402345881001</t>
  </si>
  <si>
    <t>Gear Video 7: Spur Gear Component Forces</t>
  </si>
  <si>
    <t>Spur gears | Gears | Mechanical engineering | Load profiles | Tangent | System design</t>
  </si>
  <si>
    <t>Mechanical engineering | Electrical engineering | Energy engineering | Mathematics | Industrial engineering</t>
  </si>
  <si>
    <t>https://www.accessengineeringlibrary.com/content/video/V1402345899001</t>
  </si>
  <si>
    <t>HVAC System Sizing Design Example Part 1: Heat Transfer Coefficients</t>
  </si>
  <si>
    <t>Heat transfer coefficients | HVAC systems | HVAC design | Mechanical engineering | Walls | Roofing</t>
  </si>
  <si>
    <t>https://www.accessengineeringlibrary.com/content/video/V1402345902001</t>
  </si>
  <si>
    <t>Compression Spring Design</t>
  </si>
  <si>
    <t>Mechanical springs | Spring design | Mechanical engineering | Static load | Torsion | Deflection</t>
  </si>
  <si>
    <t>https://www.accessengineeringlibrary.com/content/video/V1402345905001</t>
  </si>
  <si>
    <t>Torque Transfer Video 3: Spline Design</t>
  </si>
  <si>
    <t>Splines | Torque | Shafts | Mechanical engineering | Machining</t>
  </si>
  <si>
    <t>Mechanical engineering | Sciences | Industrial engineering | Materials engineering</t>
  </si>
  <si>
    <t>https://www.accessengineeringlibrary.com/content/video/V1402345907001</t>
  </si>
  <si>
    <t>Vibration Isolation</t>
  </si>
  <si>
    <t>Vibration isolation | Mechanical engineering | Vibration | Damping | Amplifiers | Natural frequency</t>
  </si>
  <si>
    <t>https://www.accessengineeringlibrary.com/content/video/V1402345911001</t>
  </si>
  <si>
    <t>Torsion of a Solid Non-Circular Shaft</t>
  </si>
  <si>
    <t>Torsion | Solid shafts | Stress | Mechanical engineering | Shafts | Shear stress</t>
  </si>
  <si>
    <t>https://www.accessengineeringlibrary.com/content/video/V1402345912001</t>
  </si>
  <si>
    <t>Schaum's Calculus Supplementary Problem 56.18 Video Solution</t>
  </si>
  <si>
    <t>Calculus | Integrals | Volume | Sine | Cosine</t>
  </si>
  <si>
    <t>https://www.accessengineeringlibrary.com/content/video/V1402348990001</t>
  </si>
  <si>
    <t>Schaum's Calculus Supplementary Problem 50.27 Video Solution</t>
  </si>
  <si>
    <t>Calculus | Triangles | Cross product | Vector spaces | Vectors | Unit vectors</t>
  </si>
  <si>
    <t>https://www.accessengineeringlibrary.com/content/video/V1402348991001</t>
  </si>
  <si>
    <t>Schaum's Calculus Supplementary Problem 46.27 Video Solution</t>
  </si>
  <si>
    <t>Calculus | Power series | Energy conversion systems | Sequences and series | Infinite series | Inequalities</t>
  </si>
  <si>
    <t>Mathematics | Electrical engineering | Energy engineering | Mechanical engineering</t>
  </si>
  <si>
    <t>https://www.accessengineeringlibrary.com/content/video/V1402348992001</t>
  </si>
  <si>
    <t>Schaum's Calculus Supplementary Problem 29.11 Video Solution</t>
  </si>
  <si>
    <t>Calculus | Parabolas</t>
  </si>
  <si>
    <t>https://www.accessengineeringlibrary.com/content/video/V1402348993001</t>
  </si>
  <si>
    <t>Schaum's Calculus Supplementary Problem 25.14 Video Solution</t>
  </si>
  <si>
    <t>Calculus | Logarithms | Definite integrals</t>
  </si>
  <si>
    <t>https://www.accessengineeringlibrary.com/content/video/V1402348994001</t>
  </si>
  <si>
    <t>Schaum's Calculus Supplementary Problem 20.16 Video Solution</t>
  </si>
  <si>
    <t>Calculus | Right triangles</t>
  </si>
  <si>
    <t>https://www.accessengineeringlibrary.com/content/video/V1402348995001</t>
  </si>
  <si>
    <t>Schaum's Calculus Supplementary Problem 18.21 Video Solution</t>
  </si>
  <si>
    <t>Calculus | Chain rules | Trigonometric functions | Cosine</t>
  </si>
  <si>
    <t>https://www.accessengineeringlibrary.com/content/video/V1402348996001</t>
  </si>
  <si>
    <t>Schaum's Calculus Supplementary Problem 10.53 Video Solution</t>
  </si>
  <si>
    <t>Calculus | Chain rules</t>
  </si>
  <si>
    <t>https://www.accessengineeringlibrary.com/content/video/V1402348998001</t>
  </si>
  <si>
    <t>Schaum's Calculus Supplementary Problem 6.17 Video Solution</t>
  </si>
  <si>
    <t>Calculus | Fractions</t>
  </si>
  <si>
    <t>https://www.accessengineeringlibrary.com/content/video/V1402349001001</t>
  </si>
  <si>
    <t>Schaum's Calculus Supplementary Problem 3.21 Video Solution</t>
  </si>
  <si>
    <t>https://www.accessengineeringlibrary.com/content/video/V1402349002001</t>
  </si>
  <si>
    <t>Gear Video 8: Spur Gear Bending Stress</t>
  </si>
  <si>
    <t>Gears | Bending stress | Spur gears | Mechanical engineering | Shafts | Reliability</t>
  </si>
  <si>
    <t>Mechanical engineering | Civil engineering | Industrial engineering</t>
  </si>
  <si>
    <t>https://www.accessengineeringlibrary.com/content/video/V1402349021001</t>
  </si>
  <si>
    <t>Large Central Station Turbine-Generator Performance</t>
  </si>
  <si>
    <t>Mechanical engineering | Coal | Heat rate | Boilers | Turbines | Thermodynamic efficiency</t>
  </si>
  <si>
    <t>Mechanical engineering | Energy engineering | Environmental engineering | Sciences | Chemical engineering | Civil engineering | Electrical engineering</t>
  </si>
  <si>
    <t>https://www.accessengineeringlibrary.com/content/video/V1402349023001</t>
  </si>
  <si>
    <t>Shock Spectrum</t>
  </si>
  <si>
    <t>Mechanical engineering | Centers of mass | Dynamic load | Amplification factor | Shock response spectrum | Stress</t>
  </si>
  <si>
    <t>Mechanical engineering | Sciences | Civil engineering | Electrical engineering | Industrial engineering</t>
  </si>
  <si>
    <t>https://www.accessengineeringlibrary.com/content/video/V1402349024001</t>
  </si>
  <si>
    <t>HVAC System Sizing Design Example Part 3: Ventilation and Psychrometrics</t>
  </si>
  <si>
    <t>Ventilation | Psychrometry | HVAC systems | HVAC design | Mechanical engineering | Cooling load</t>
  </si>
  <si>
    <t>https://www.accessengineeringlibrary.com/content/video/V1402349025001</t>
  </si>
  <si>
    <t>Stress Concentrations in Flat Plates</t>
  </si>
  <si>
    <t>Stress concentrations | Mechanical engineering | Stress concentration factor | Axial load | Stress | Bending load</t>
  </si>
  <si>
    <t>https://www.accessengineeringlibrary.com/content/video/V1402349027001</t>
  </si>
  <si>
    <t>Hollow Square-Section Fixed-Fixed Beam Analysis</t>
  </si>
  <si>
    <t>Structural beams | Mechanical engineering | Stress | Walls | Bending stress | Moment of inertia</t>
  </si>
  <si>
    <t>https://www.accessengineeringlibrary.com/content/video/V1402349030001</t>
  </si>
  <si>
    <t>Cooling Tower</t>
  </si>
  <si>
    <t>Cooling towers | Water cycle | Mechanical engineering | Liquid cooling | Cooling fans | Wet bulb temperature</t>
  </si>
  <si>
    <t>Chemical engineering | Civil engineering | Sciences | Mechanical engineering | Aerospace engineering</t>
  </si>
  <si>
    <t>https://www.accessengineeringlibrary.com/content/video/V1402349031001</t>
  </si>
  <si>
    <t>Direct Conversion of Solar Radiation to Electricity</t>
  </si>
  <si>
    <t>Electricity | Radiation | Direct energy conversion | Mechanical engineering | Photovoltaics | Roofing</t>
  </si>
  <si>
    <t>Sciences | Electrical engineering | Energy engineering | Mechanical engineering | Environmental engineering | Civil engineering</t>
  </si>
  <si>
    <t>https://www.accessengineeringlibrary.com/content/video/V1402349032001</t>
  </si>
  <si>
    <t>Centrifugal Pump: Typical Characteristic Curves at Constant Speed</t>
  </si>
  <si>
    <t>Centrifugal pumps | Mechanical engineering | Volume measurement | Pumps | Horsepower | Flow rate measurement</t>
  </si>
  <si>
    <t>Chemical engineering | Civil engineering | Mechanical engineering | Mathematics | Electrical engineering | Energy engineering | Environmental engineering</t>
  </si>
  <si>
    <t>https://www.accessengineeringlibrary.com/content/video/V1402349035001</t>
  </si>
  <si>
    <t>Chain Drive Video 4: Roller Chain Design Example Part II</t>
  </si>
  <si>
    <t>Chain drives | Mechanical engineering | K value | Motors | Stress | Shafts</t>
  </si>
  <si>
    <t>Mechanical engineering | Chemical engineering | Sciences | Materials engineering | Electrical engineering | Energy engineering | Civil engineering</t>
  </si>
  <si>
    <t>https://www.accessengineeringlibrary.com/content/video/V1402349037001</t>
  </si>
  <si>
    <t>Chain Drive Video 3: Roller Chain Design Example Part I</t>
  </si>
  <si>
    <t>Chain drives | Horsepower | Mechanical engineering | Hammer mills | Diesel engines | Stress</t>
  </si>
  <si>
    <t>Mechanical engineering | Electrical engineering | Energy engineering | Industrial engineering | Materials engineering | Civil engineering</t>
  </si>
  <si>
    <t>https://www.accessengineeringlibrary.com/content/video/V1402349039001</t>
  </si>
  <si>
    <t>Chain Drive Video 1: Roller Chain and Sprocket Selection Parameters</t>
  </si>
  <si>
    <t>Chain drives | Mechanical engineering | Tension | Fatigue | Conveyors | Mechanical components</t>
  </si>
  <si>
    <t>Mechanical engineering | Civil engineering | Sciences | Materials engineering | Industrial engineering</t>
  </si>
  <si>
    <t>https://www.accessengineeringlibrary.com/content/video/V1402349041001</t>
  </si>
  <si>
    <t>Schaum's Biology Problem 31.2: Cuticle Gas Exchange</t>
  </si>
  <si>
    <t>Gases | Biology | Photosynthesis | Carbon dioxide | Water vapor | Surface coatings</t>
  </si>
  <si>
    <t>Sciences | Bioengineering | Chemical engineering | Civil engineering | Materials engineering</t>
  </si>
  <si>
    <t>https://www.accessengineeringlibrary.com/content/video/V2707151806001</t>
  </si>
  <si>
    <t>Schaum's Biology Problem 32.14: Amniotic Egg</t>
  </si>
  <si>
    <t>Biology | Water supply | Gases | Waste removal | Innovation | Hydrocarbon cracking</t>
  </si>
  <si>
    <t>Bioengineering | Sciences | Civil engineering | Energy engineering | Environmental engineering | Business skills | Engineering management | Chemical engineering</t>
  </si>
  <si>
    <t>https://www.accessengineeringlibrary.com/content/video/V2707151807001</t>
  </si>
  <si>
    <t>Presentation Secrets of Steve Jobs: Draw a Roadmap Using the Rule of Three</t>
  </si>
  <si>
    <t>Presentation Secrets of Steve Jobs: How to Be Insanely Great in Front of Any Audience</t>
  </si>
  <si>
    <t>https://www.accessengineeringlibrary.com/content/video/V2743257559001</t>
  </si>
  <si>
    <t>Presentation Secrets of Steve Jobs: Reveal a Holy Smokes Moment</t>
  </si>
  <si>
    <t>https://www.accessengineeringlibrary.com/content/video/V2743257560001</t>
  </si>
  <si>
    <t>Presentation Secrets of Steve Jobs: Create Twitter Like Headlines</t>
  </si>
  <si>
    <t>https://www.accessengineeringlibrary.com/content/video/V2743257561001</t>
  </si>
  <si>
    <t>Presentation Secrets of Steve Jobs: Plan in Analog</t>
  </si>
  <si>
    <t>https://www.accessengineeringlibrary.com/content/video/V2743257562001</t>
  </si>
  <si>
    <t>Presentation Secrets of Steve Jobs: One More Thing</t>
  </si>
  <si>
    <t>https://www.accessengineeringlibrary.com/content/video/V2743257563001</t>
  </si>
  <si>
    <t>Presentation Secrets of Steve Jobs: Make It Look Effortless</t>
  </si>
  <si>
    <t>https://www.accessengineeringlibrary.com/content/video/V2743257564001</t>
  </si>
  <si>
    <t>Presentation Secrets of Steve Jobs: Master Stage Presence</t>
  </si>
  <si>
    <t>https://www.accessengineeringlibrary.com/content/video/V2743257565001</t>
  </si>
  <si>
    <t>Presentation Secrets of Steve Jobs: Unleash their Inner Zen</t>
  </si>
  <si>
    <t>https://www.accessengineeringlibrary.com/content/video/V2743287866001</t>
  </si>
  <si>
    <t>Presentation Secrets of Steve Jobs: Introduce the Antagonist</t>
  </si>
  <si>
    <t>https://www.accessengineeringlibrary.com/content/video/V2743287867001</t>
  </si>
  <si>
    <t>Presentation Secrets of Steve Jobs: Develop a Messianic Sense of Purpose</t>
  </si>
  <si>
    <t>https://www.accessengineeringlibrary.com/content/video/V2743287868001</t>
  </si>
  <si>
    <t>Presentation Secrets of Steve Jobs: Answer the One Question that Matters Most</t>
  </si>
  <si>
    <t>https://www.accessengineeringlibrary.com/content/video/V2743287869001</t>
  </si>
  <si>
    <t>Presentation Secrets of Steve Jobs: Introduction</t>
  </si>
  <si>
    <t>https://www.accessengineeringlibrary.com/content/video/V2743287870001</t>
  </si>
  <si>
    <t>Thermal Science Problem 3-4</t>
  </si>
  <si>
    <t>Thermodynamic science | Mechanical thermodynamics | Heat transfer | Fluid mechanics | Compressibility factor | Thermodynamic properties</t>
  </si>
  <si>
    <t>https://www.accessengineeringlibrary.com/content/video/V2758874973001</t>
  </si>
  <si>
    <t>Thermal Science Problem 4-5</t>
  </si>
  <si>
    <t>Thermodynamic science | Mechanical thermodynamics | Heat transfer | Fluid mechanics | Isentropic processes | Temperature</t>
  </si>
  <si>
    <t>https://www.accessengineeringlibrary.com/content/video/V2758874974001</t>
  </si>
  <si>
    <t>Thermal Science Problem 4-10</t>
  </si>
  <si>
    <t>Enthalpy | Thermodynamic science | Mechanical thermodynamics | Heat transfer | Fluid mechanics | Liquid pressure</t>
  </si>
  <si>
    <t>https://www.accessengineeringlibrary.com/content/video/V2758874975001</t>
  </si>
  <si>
    <t>Thermal Science Problem 7-2</t>
  </si>
  <si>
    <t>Thermodynamic efficiency | Thermodynamic science | Mechanical thermodynamics | Heat transfer | Fluid mechanics | Diesel cycle</t>
  </si>
  <si>
    <t>https://www.accessengineeringlibrary.com/content/video/V2758874976001</t>
  </si>
  <si>
    <t>Thermal Science Example 7-6</t>
  </si>
  <si>
    <t>Turboprop engines | Compressors | Turbines | Thermodynamic science | Mechanical thermodynamics | Heat transfer</t>
  </si>
  <si>
    <t>Aerospace engineering | Electrical engineering | Energy engineering | Mechanical engineering | Chemical engineering | Civil engineering | Sciences</t>
  </si>
  <si>
    <t>https://www.accessengineeringlibrary.com/content/video/V2758874977001</t>
  </si>
  <si>
    <t>5.44 Hydraulic animation of a closed center 4/3 directional control valve</t>
  </si>
  <si>
    <t>Fluid Power Engineering 2E</t>
  </si>
  <si>
    <t>M. Rabie</t>
  </si>
  <si>
    <t>Control valves | Hydraulics | Power engineering</t>
  </si>
  <si>
    <t>https://www.accessengineeringlibrary.com/content/video/V6342978573112</t>
  </si>
  <si>
    <t>5.29 Hydraulic animation of an open center 4/3 directional control valve</t>
  </si>
  <si>
    <t>Control valves | Hydraulics | Power engineering | Pump operation</t>
  </si>
  <si>
    <t>https://www.accessengineeringlibrary.com/content/video/V6342978189112</t>
  </si>
  <si>
    <t>4.22a The construction and operation of an external gear pump</t>
  </si>
  <si>
    <t>Power engineering | Pump operation</t>
  </si>
  <si>
    <t>https://www.accessengineeringlibrary.com/content/video/V6342977984112</t>
  </si>
  <si>
    <t>1.11a Hydraulic basic power system circuit, construction, operation, and symbolic drawing</t>
  </si>
  <si>
    <t>Construction drawings | Hydraulic circuits | Hydraulics | Electric power systems | Power engineering</t>
  </si>
  <si>
    <t>Civil engineering | Chemical engineering | Mechanical engineering | Electrical engineering | Energy engineering</t>
  </si>
  <si>
    <t>https://www.accessengineeringlibrary.com/content/video/V6342977134112</t>
  </si>
  <si>
    <t>4.29 The construction and operation of a twin-screw pump</t>
  </si>
  <si>
    <t>https://www.accessengineeringlibrary.com/content/video/V6342978188112</t>
  </si>
  <si>
    <t>7.7A4a A typical circuit including position holding by a pilot-operated check valve</t>
  </si>
  <si>
    <t>Circuits | Check valves | Control valves | Power engineering | Valves flow | Static pressure</t>
  </si>
  <si>
    <t>Electrical engineering | Chemical engineering | Civil engineering | Mechanical engineering | Energy engineering</t>
  </si>
  <si>
    <t>https://www.accessengineeringlibrary.com/content/video/V6342978475112</t>
  </si>
  <si>
    <t>1.1b Operation of a hydraulically powered large excavator with 40 cubic meters bucket capacity</t>
  </si>
  <si>
    <t>Excavators | Power engineering | Hydraulics | Engines</t>
  </si>
  <si>
    <t>Civil engineering | Industrial engineering | Mechanical engineering | Electrical engineering | Energy engineering | Chemical engineering</t>
  </si>
  <si>
    <t>https://www.accessengineeringlibrary.com/content/video/V6342976822112</t>
  </si>
  <si>
    <t>12.5.11 Pneumatic circuit for dual pressure control of a double-acting cylinder</t>
  </si>
  <si>
    <t>Pneumatic circuits | Maximum pressure | Power engineering | Control valves</t>
  </si>
  <si>
    <t>https://www.accessengineeringlibrary.com/content/video/V6342976626112</t>
  </si>
  <si>
    <t>5.51 Hydraulic animation of a pilot-operated check valve</t>
  </si>
  <si>
    <t>Hydraulics | Check valves | Valves flow | Power engineering</t>
  </si>
  <si>
    <t>https://www.accessengineeringlibrary.com/content/video/V6342977898112</t>
  </si>
  <si>
    <t>12.5.5 Pneumatic circuit for AND-control of a single-acting cylinder</t>
  </si>
  <si>
    <t>Pneumatic circuits | Power engineering | Valves flow | Control valves | Compressed air</t>
  </si>
  <si>
    <t>https://www.accessengineeringlibrary.com/content/video/V6342977522112</t>
  </si>
  <si>
    <t>7.7A4b Hydraulic animation of a 4/3 directional control valve with service ports A and B drained at neutral position</t>
  </si>
  <si>
    <t>Hydraulics | Control valves | Power engineering | Check valves</t>
  </si>
  <si>
    <t>https://www.accessengineeringlibrary.com/content/video/V6342976945112</t>
  </si>
  <si>
    <t>7.7A8 The hydraulic circuit of a hydraulic jack with hydraulic position locking and lowering speed control</t>
  </si>
  <si>
    <t>Hydraulics | Hydraulic circuits | Control valves | Check valves | Power engineering | Hydraulic pumps</t>
  </si>
  <si>
    <t>https://www.accessengineeringlibrary.com/content/video/V6342977693112</t>
  </si>
  <si>
    <t>7.7A6 A typical circuit of a system with a sequence of operation</t>
  </si>
  <si>
    <t>Circuits | Hydraulic circuits | Power engineering | Valves | Clamping | Hydraulic machinery</t>
  </si>
  <si>
    <t>Electrical engineering | Chemical engineering | Civil engineering | Mechanical engineering | Energy engineering | Industrial engineering | Materials engineering</t>
  </si>
  <si>
    <t>https://www.accessengineeringlibrary.com/content/video/V6342978675112</t>
  </si>
  <si>
    <t>7.3 Animation of a hydraulic cylinder equipped with end-position cushioning at both sides</t>
  </si>
  <si>
    <t>Hydraulics | Power engineering</t>
  </si>
  <si>
    <t>https://www.accessengineeringlibrary.com/content/video/V6342978076112</t>
  </si>
  <si>
    <t>4.26 The construction and operation of an internal gear pump</t>
  </si>
  <si>
    <t>Pump operation | Power engineering</t>
  </si>
  <si>
    <t>https://www.accessengineeringlibrary.com/content/video/V6342978572112</t>
  </si>
  <si>
    <t>12.5.13 Pneumatic Circuit For Fully Automatic Control of a Double-Acting Cylinder</t>
  </si>
  <si>
    <t>Automatic control | Pneumatic circuits | Power engineering | Reciprocating motion | Control valves</t>
  </si>
  <si>
    <t>Electrical engineering | Mechanical engineering | Chemical engineering | Civil engineering | Energy engineering | Sciences</t>
  </si>
  <si>
    <t>https://www.accessengineeringlibrary.com/content/video/V6342976627112</t>
  </si>
  <si>
    <t>4.12 The construction and operation of a bent-axis axial piston pump</t>
  </si>
  <si>
    <t>https://www.accessengineeringlibrary.com/content/video/V6342976418112</t>
  </si>
  <si>
    <t>4.30 The construction and operation of a pressure-balanced vane pump</t>
  </si>
  <si>
    <t>https://www.accessengineeringlibrary.com/content/video/V6342978673112</t>
  </si>
  <si>
    <t>5.13 Hydraulic animation of a direct operated sequence valve with check valve</t>
  </si>
  <si>
    <t>Hydraulics | Check valves | Power engineering | Valves | Operating pressure | Actuators</t>
  </si>
  <si>
    <t>https://www.accessengineeringlibrary.com/content/video/V6342976139112</t>
  </si>
  <si>
    <t>12.5.18 Pneumatic circuit for electro-pneumatic logic 'MEMORY'</t>
  </si>
  <si>
    <t>Pneumatic circuits | Power engineering | Valves | Solenoids | Control valves</t>
  </si>
  <si>
    <t>https://www.accessengineeringlibrary.com/content/video/V6342978770112</t>
  </si>
  <si>
    <t>4.8a Video describing the effect of the pump inlet pressure on its operation; Cavitation.""</t>
  </si>
  <si>
    <t>Fluid Power Engineering 2E""</t>
  </si>
  <si>
    <t>M. Rabie""</t>
  </si>
  <si>
    <t>Pump operation | Operating pressure | Pump cavitation | Power engineering | Cavitation""</t>
  </si>
  <si>
    <t>Chemical engineering | Civil engineering | Mechanical engineering | Electrical engineering | Energy engineering""</t>
  </si>
  <si>
    <t>https://www.accessengineeringlibrary.com/content/video/V6342978571112</t>
  </si>
  <si>
    <t>1.6.6 Hydraulic circuit with cylinder controlled by 4/3 closed center DCV</t>
  </si>
  <si>
    <t>Hydraulic circuits | Power engineering | Circuits</t>
  </si>
  <si>
    <t>https://www.accessengineeringlibrary.com/content/video/V6342977318112</t>
  </si>
  <si>
    <t>7.7A12 A typical closed circuit with a unidirectional motor</t>
  </si>
  <si>
    <t>Circuits | Hydraulic circuits | Power engineering | Motors | Suction lines | Hydraulics</t>
  </si>
  <si>
    <t>https://www.accessengineeringlibrary.com/content/video/V6342977424112</t>
  </si>
  <si>
    <t>12.5.17 Pneumatic circuit for electro-pneumatic logic 'OR'</t>
  </si>
  <si>
    <t>Pneumatic circuits | Solenoids | Power engineering | Electric energy | Electricity</t>
  </si>
  <si>
    <t>https://www.accessengineeringlibrary.com/content/video/V6342977138112</t>
  </si>
  <si>
    <t>5.59 Hydraulic animation of a hydraulic flow control valve with check valve</t>
  </si>
  <si>
    <t>Hydraulics | Valves flow | Control valves | Power engineering | Rotational flow | Check valves</t>
  </si>
  <si>
    <t>https://www.accessengineeringlibrary.com/content/video/V6342978190112</t>
  </si>
  <si>
    <t>7.7A13 A typical closed circuit system</t>
  </si>
  <si>
    <t>Circuits | Hydraulic circuits | Power engineering | Relief valves | Pressurized systems | Motors</t>
  </si>
  <si>
    <t>https://www.accessengineeringlibrary.com/content/video/V6342977520112</t>
  </si>
  <si>
    <t>7.7A1a A typical circuit with a pump by-pass</t>
  </si>
  <si>
    <t>Pumps | Circuits | Power engineering | Hydraulics | Hydraulic pumps | Control valves</t>
  </si>
  <si>
    <t>https://www.accessengineeringlibrary.com/content/video/V6342975929112</t>
  </si>
  <si>
    <t>12.5.7 Pneumatic circuit for logic 'NOT' control</t>
  </si>
  <si>
    <t>Pneumatic circuits | Power engineering | Control valves</t>
  </si>
  <si>
    <t>https://www.accessengineeringlibrary.com/content/video/V6342978574112</t>
  </si>
  <si>
    <t>4.8c Construction and operation of a set-up measuring the pump characteristics and visualizing the cavitation Part 2</t>
  </si>
  <si>
    <t>Cavitation | Pump operation | Pump cavitation | Power engineering | Displacement pumps</t>
  </si>
  <si>
    <t>https://www.accessengineeringlibrary.com/content/video/V6342977135112</t>
  </si>
  <si>
    <t>12.5.3 Pneumatic circuit for bi-directional speed control of a single-acting cylinder</t>
  </si>
  <si>
    <t>Pneumatic circuits | Power engineering | Airflow</t>
  </si>
  <si>
    <t>Chemical engineering | Civil engineering | Mechanical engineering | Electrical engineering | Energy engineering | Aerospace engineering</t>
  </si>
  <si>
    <t>https://www.accessengineeringlibrary.com/content/video/V6342977521112</t>
  </si>
  <si>
    <t>7.7A10 A typical circuit of a mobile system with an (or) connection; only one actuator runs at a time with priority to the upstream valve""</t>
  </si>
  <si>
    <t>Actuators | Circuits | Control valves | Relief valves | Power engineering | Hydraulics""</t>
  </si>
  <si>
    <t>Electrical engineering | Mechanical engineering | Chemical engineering | Civil engineering | Energy engineering""</t>
  </si>
  <si>
    <t>https://www.accessengineeringlibrary.com/content/video/V6342978476112</t>
  </si>
  <si>
    <t>5.62b Hydraulic Circuit-8: Cylinder speed control using series pressure compensated flow control and check valves</t>
  </si>
  <si>
    <t>Valves flow | Static pressure | Control valves | Hydraulics | Power engineering | Fluid flow control</t>
  </si>
  <si>
    <t>https://www.accessengineeringlibrary.com/content/video/V6342978077112</t>
  </si>
  <si>
    <t>12.5.6 Pneumatic circuit for AND-control of single acting cylinder logic AND control</t>
  </si>
  <si>
    <t>Pneumatic circuits | Valves flow | Power engineering | Static pressure | Hydraulics | Control valves</t>
  </si>
  <si>
    <t>https://www.accessengineeringlibrary.com/content/video/V6342977137112</t>
  </si>
  <si>
    <t>12.5.2 Pneumatic circuit for unidirectional speed control of a single-acting cylinder</t>
  </si>
  <si>
    <t>Pneumatic circuits | Power engineering | Air valves | Check valves</t>
  </si>
  <si>
    <t>https://www.accessengineeringlibrary.com/content/video/V6342976522112</t>
  </si>
  <si>
    <t>5.19b Hydraulic Circuit-10: An application of a pressure sequence valve</t>
  </si>
  <si>
    <t>Hydraulics | Power engineering | Operating pressure | Hydraulic circuits | Valves</t>
  </si>
  <si>
    <t>https://www.accessengineeringlibrary.com/content/video/V6342976234112</t>
  </si>
  <si>
    <t>5.14b Hydraulic Circuit-7: An application of a pressure-reducing valve</t>
  </si>
  <si>
    <t>https://www.accessengineeringlibrary.com/content/video/V6342976233112</t>
  </si>
  <si>
    <t>12.5.16 Pneumatic circuit for electro-pneumatic logic 'AND'</t>
  </si>
  <si>
    <t>Pneumatic circuits | Solenoids | Power engineering | Electricity</t>
  </si>
  <si>
    <t>https://www.accessengineeringlibrary.com/content/video/V6342976143112</t>
  </si>
  <si>
    <t>12.5.14 Pneumatic circuit for timed control of a double-acting cylinder</t>
  </si>
  <si>
    <t>Pneumatic circuits | Delay time | Compressed air | Power engineering</t>
  </si>
  <si>
    <t>https://www.accessengineeringlibrary.com/content/video/V6342976946112</t>
  </si>
  <si>
    <t>5.4 Hydraulic animation of a direct-operated relief valve with built-in damper</t>
  </si>
  <si>
    <t>Relief valves | Hydraulics | Power engineering | Operating pressure | Flow rate | Dampers</t>
  </si>
  <si>
    <t>https://www.accessengineeringlibrary.com/content/video/V6342976138112</t>
  </si>
  <si>
    <t>1.6.8&amp;9 Hydraulic circuit with cylinder controlled by a 4/3 DCV. The pump is by-passed in neutral position, and load lowering speed is controlled</t>
  </si>
  <si>
    <t>Hydraulic pumps | Hydraulic circuits | Hydraulic loads | Power engineering | Circuits | Check valves</t>
  </si>
  <si>
    <t>https://www.accessengineeringlibrary.com/content/video/V6342976823112</t>
  </si>
  <si>
    <t>5.49 Hydraulic check valve animation</t>
  </si>
  <si>
    <t>Check valves | Hydraulics | Fluid dynamics | Power engineering | Static pressure | Hydrocarbon cracking</t>
  </si>
  <si>
    <t>https://www.accessengineeringlibrary.com/content/video/V6342978674112</t>
  </si>
  <si>
    <t>12.5.4 Pneumatic OR-control of a single-acting cylinder</t>
  </si>
  <si>
    <t>Pneumatics | Valves flow | Power engineering | Control valves | Compressed air</t>
  </si>
  <si>
    <t>https://www.accessengineeringlibrary.com/content/video/V6342978676112</t>
  </si>
  <si>
    <t>12.5.10 Pneumatic circuit for unidirectional speed control and quick return of a double-acting cylinder</t>
  </si>
  <si>
    <t>Pneumatic circuits | Power engineering | Check valves</t>
  </si>
  <si>
    <t>https://www.accessengineeringlibrary.com/content/video/V6342976826112</t>
  </si>
  <si>
    <t>4.18 The construction and operation of a swash plate axial piston pump</t>
  </si>
  <si>
    <t>https://www.accessengineeringlibrary.com/content/video/V6342977021112</t>
  </si>
  <si>
    <t>4.8b Construction and operation of a set-up measuring the pump characteristics and visualizing the cavitation Part 1</t>
  </si>
  <si>
    <t>https://www.accessengineeringlibrary.com/content/video/V6342976625112</t>
  </si>
  <si>
    <t>7.7A3 A typical circuit including a series connection of DCVs with a pump by-pass</t>
  </si>
  <si>
    <t>Pumps in series and parallel | Circuits | Power engineering | Hydraulics | Fluid dynamics | Control valves</t>
  </si>
  <si>
    <t>https://www.accessengineeringlibrary.com/content/video/V6342977136112</t>
  </si>
  <si>
    <t>5.11 Hydraulic animation of a direct operated pressure reducing valve with check valve</t>
  </si>
  <si>
    <t>Operating pressure | Check valves | Hydraulics | Valves flow | Power engineering</t>
  </si>
  <si>
    <t>Mechanical engineering | Chemical engineering | Civil engineering | Electrical engineering | Energy engineering</t>
  </si>
  <si>
    <t>https://www.accessengineeringlibrary.com/content/video/V6342976943112</t>
  </si>
  <si>
    <t>7.7A11 A typical circuit of a mobile system with parallel connections and series connected traction motors</t>
  </si>
  <si>
    <t>Circuits | Motors | Relief valves | Hydraulics | Power engineering</t>
  </si>
  <si>
    <t>https://www.accessengineeringlibrary.com/content/video/V6342976825112</t>
  </si>
  <si>
    <t>4.20 The construction and operation of a radial piston pump driven by an eccentric shaft</t>
  </si>
  <si>
    <t>https://www.accessengineeringlibrary.com/content/video/V6342978672112</t>
  </si>
  <si>
    <t>12.5.9 Pneumatic circuit for bi-directional speed control of a double-acting cylinder</t>
  </si>
  <si>
    <t>Pneumatic circuits | Power engineering</t>
  </si>
  <si>
    <t>https://www.accessengineeringlibrary.com/content/video/V6342977022112</t>
  </si>
  <si>
    <t>7.7A5 A typical circuit of a system with a regenerative connection (semi-open circuit)</t>
  </si>
  <si>
    <t>Circuits | Hydraulic circuits | Power engineering | Hydraulics | Control valves | Hydraulic energy</t>
  </si>
  <si>
    <t>https://www.accessengineeringlibrary.com/content/video/V6342976824112</t>
  </si>
  <si>
    <t>4.3a Hydraulic circuit used to explain the causality relation in hydraulic power systems</t>
  </si>
  <si>
    <t>Hydraulic circuits | Hydraulics | Electric power systems | Power engineering | Hydraulic loads</t>
  </si>
  <si>
    <t>https://www.accessengineeringlibrary.com/content/video/V6342976232112</t>
  </si>
  <si>
    <t>12.5.12 Pneumatic circuit for semi-automatic control of a double acting cylinder</t>
  </si>
  <si>
    <t>Pneumatic circuits | Control valves | Power engineering</t>
  </si>
  <si>
    <t>https://www.accessengineeringlibrary.com/content/video/V6342976142112</t>
  </si>
  <si>
    <t>5.52a Hydraulic circuit illustrating a typical application of the pilot-operated check valve for position locking of hydraulic cylinder</t>
  </si>
  <si>
    <t>Hydraulics | Check valves | Hydraulic circuits | Power engineering | Hydraulic loads</t>
  </si>
  <si>
    <t>https://www.accessengineeringlibrary.com/content/video/V6342975928112</t>
  </si>
  <si>
    <t>7.7A13a A typical closed circuit with a unidirectional motor.</t>
  </si>
  <si>
    <t>Circuits | Power engineering | Motors</t>
  </si>
  <si>
    <t>https://www.accessengineeringlibrary.com/content/video/V6342976235112</t>
  </si>
  <si>
    <t>7.7A2a A typical circuit including the parallel connection of DCVs</t>
  </si>
  <si>
    <t>Circuits | Power engineering | Hydraulics | Hydraulic pumps | Control valves | Pumps in series and parallel</t>
  </si>
  <si>
    <t>https://www.accessengineeringlibrary.com/content/video/V6342976944112</t>
  </si>
  <si>
    <t>12.5.8 Pneumatic circuit for logic 'MEMORY' control</t>
  </si>
  <si>
    <t>Pneumatic circuits | Control valves | Air valves | Power engineering</t>
  </si>
  <si>
    <t>https://www.accessengineeringlibrary.com/content/video/V6342977899112</t>
  </si>
  <si>
    <t>7.7A7 The hydraulic circuit of a simple hydraulic press with a clamping device</t>
  </si>
  <si>
    <t>Clamping | Hydraulic presses | Hydraulic circuits | Control valves | Power engineering | Pumps</t>
  </si>
  <si>
    <t>Electrical engineering | Mechanical engineering | Industrial engineering | Materials engineering | Civil engineering | Chemical engineering | Energy engineering</t>
  </si>
  <si>
    <t>https://www.accessengineeringlibrary.com/content/video/V6342975836112</t>
  </si>
  <si>
    <t>12.5.19 Pneumatic circuit for electro-pneumatic logic 'NOT'</t>
  </si>
  <si>
    <t>Pneumatic circuits | Control valves | Power engineering | Solenoids</t>
  </si>
  <si>
    <t>https://www.accessengineeringlibrary.com/content/video/V6342978079112</t>
  </si>
  <si>
    <t>7.7A9 A typical circuit of a mobile system with a parallel connection</t>
  </si>
  <si>
    <t>Circuits | Relief valves | Control valves | Actuators | Power engineering | Hydraulics</t>
  </si>
  <si>
    <t>https://www.accessengineeringlibrary.com/content/video/V6342976140112</t>
  </si>
  <si>
    <t>5.6.34 Hydraulic circuit including a 4/2 DCV and a series pressure compensated flow control valve</t>
  </si>
  <si>
    <t>Control valves | Valves flow | Static pressure | Hydraulic circuits | Power engineering | Hydraulics</t>
  </si>
  <si>
    <t>https://www.accessengineeringlibrary.com/content/video/V6342976419112</t>
  </si>
  <si>
    <t>12.5.15 Pneumatic circuit for basic positional control of a double-acting cylinder</t>
  </si>
  <si>
    <t>Pneumatic circuits | Power engineering | Control valves | Compressed air</t>
  </si>
  <si>
    <t>https://www.accessengineeringlibrary.com/content/video/V6342978078112</t>
  </si>
  <si>
    <t>5.5B1a Hydraulic circuit illustrating the pressure limitation using a direct operated relief valve</t>
  </si>
  <si>
    <t>Hydraulic circuits | Relief valves | Power engineering | Pumps | Circuits</t>
  </si>
  <si>
    <t>https://www.accessengineeringlibrary.com/content/video/V6342976521112</t>
  </si>
  <si>
    <t>5.57 Hydraulic animation of a throttle check valve</t>
  </si>
  <si>
    <t>Hydraulics | Valves flow | Power engineering | Check valves</t>
  </si>
  <si>
    <t>https://www.accessengineeringlibrary.com/content/video/V6342977319112</t>
  </si>
  <si>
    <t>4.6.34b Hydraulic animation of a 4/2 directional control valve</t>
  </si>
  <si>
    <t>Control valves | Hydraulics | Power engineering | Electricity</t>
  </si>
  <si>
    <t>https://www.accessengineeringlibrary.com/content/video/V6342975835112</t>
  </si>
  <si>
    <t>1.6.7a Hydraulic circuit with cylinder controlled by a 4/3 DCV, of semi-closed/cnergy regenerative connection</t>
  </si>
  <si>
    <t>Hydraulic circuits | Power engineering | Hydraulic energy | Hydraulics</t>
  </si>
  <si>
    <t>https://www.accessengineeringlibrary.com/content/video/V6342976417112</t>
  </si>
  <si>
    <t>1.1a Operation of a hydraulically powered car-crusher</t>
  </si>
  <si>
    <t>Power engineering | Hydraulics | Crushers</t>
  </si>
  <si>
    <t>https://www.accessengineeringlibrary.com/content/video/V6342976624112</t>
  </si>
  <si>
    <t>12.5.1 Pneumatic circuit for manual control of a single-acting cylinder</t>
  </si>
  <si>
    <t>https://www.accessengineeringlibrary.com/content/video/V6342976141112</t>
  </si>
  <si>
    <t>Mechanics of Materials: Exam 3 Review Summary</t>
  </si>
  <si>
    <t>How to Ace Mechanics of Materials with Jeff Hanson</t>
  </si>
  <si>
    <t>Mohr's circle | Stress transformation | Beam design | Deflection | Combined loads | Column buckling</t>
  </si>
  <si>
    <t>https://www.accessengineeringlibrary.com/content/video/YT9781265649159_81</t>
  </si>
  <si>
    <t>Mechanics of Materials: Exam 3 Review Problem 1, Combined Loading</t>
  </si>
  <si>
    <t>Combined stress | Shear stress | Torsion | Pipes | Pipe stress | Combined loads</t>
  </si>
  <si>
    <t>https://www.accessengineeringlibrary.com/content/video/YT9781265649159_82</t>
  </si>
  <si>
    <t>Mechanics of Materials: Exam 1 Review Problem 5, Thermal Expansion Example Problem</t>
  </si>
  <si>
    <t>Thermal expansion | Materials engineering | Bolts | Steel | Stress analysis | Mechanical engineering</t>
  </si>
  <si>
    <t>Chemical engineering | Sciences | Materials engineering | Civil engineering | Mechanical engineering</t>
  </si>
  <si>
    <t>https://www.accessengineeringlibrary.com/content/video/YT9781265649159_29</t>
  </si>
  <si>
    <t>Mechanics of Materials: Exam 2, Problem 1, Torsion with Gear Ratios</t>
  </si>
  <si>
    <t>Torsion | Gear train | Shear stress | Gears | Shafts | Torque</t>
  </si>
  <si>
    <t>https://www.accessengineeringlibrary.com/content/video/YT9781265649159_52</t>
  </si>
  <si>
    <t>Mechanics of Materials: Exam 1 Review Summary</t>
  </si>
  <si>
    <t>Shear strain | Shear stress | Material properties | Stress strain diagrams | Elongation | Bearings</t>
  </si>
  <si>
    <t>https://www.accessengineeringlibrary.com/content/video/YT9781265649159_24</t>
  </si>
  <si>
    <t>Mechanics of Materials: Exam 1 Review Problem 4, Axial Elongation Example Problem</t>
  </si>
  <si>
    <t>Elongation | Steel | Normal stress | Axial load | Stress analysis | Bonding</t>
  </si>
  <si>
    <t>Materials engineering | Civil engineering | Mechanical engineering | Industrial engineering</t>
  </si>
  <si>
    <t>https://www.accessengineeringlibrary.com/content/video/YT9781265649159_28</t>
  </si>
  <si>
    <t>Problem 4.5 - Determining Snow Loading</t>
  </si>
  <si>
    <t>Structural Load Determination: 2024 IBC and ASCE/SEI 7-22</t>
  </si>
  <si>
    <t>Snow load | Design load | International building code | Roof pitch | Roughness | Geometric properties of areas</t>
  </si>
  <si>
    <t>https://www.accessengineeringlibrary.com/content/video/V6362758396112</t>
  </si>
  <si>
    <t>Problem 7.1 - Determining Flood Loading on Foundation Walls</t>
  </si>
  <si>
    <t>Flood loads | Foundation walls | Foundation load | International building code | Design load | Wall reinforcement</t>
  </si>
  <si>
    <t>https://www.accessengineeringlibrary.com/content/video/V6362758685112</t>
  </si>
  <si>
    <t>Problem 5.11 - Determining Wind Loading on Rooftop Mechanical Units</t>
  </si>
  <si>
    <t>Roofing | Wind load | International building code | Roof pitch | Design load | Area measurement</t>
  </si>
  <si>
    <t>https://www.accessengineeringlibrary.com/content/video/V6362758801112</t>
  </si>
  <si>
    <t>Problem 2.2 - Determining Gravity Load Combinations</t>
  </si>
  <si>
    <t>Gravity load | Load combinations | Live load | International building code | Office buildings | Moment frames</t>
  </si>
  <si>
    <t>https://www.accessengineeringlibrary.com/content/video/V6362758802112</t>
  </si>
  <si>
    <t>Problem 7.4 - Determining Flood Loading on Foundation Piles</t>
  </si>
  <si>
    <t>Flood loads | Foundation load | Pile foundations | Design load | International building code | Reinforced concrete design</t>
  </si>
  <si>
    <t>https://www.accessengineeringlibrary.com/content/video/V6362758993112</t>
  </si>
  <si>
    <t>Problem 5.10 - Determining Enclosure Classification of Structures for Wind Loading</t>
  </si>
  <si>
    <t>Wind load | Walls | International building code | Design load | Roofing | Roof pitch</t>
  </si>
  <si>
    <t>https://www.accessengineeringlibrary.com/content/video/V6362759084112</t>
  </si>
  <si>
    <t>Problem 6.10 - Determining Seismic Relative Displacement of Two Building Stories</t>
  </si>
  <si>
    <t>International building code | Office buildings | Steel | Seismic systems | Frame structures | Seismic design</t>
  </si>
  <si>
    <t>Civil engineering | Materials engineering | Sciences | Mechanical engineering</t>
  </si>
  <si>
    <t>https://www.accessengineeringlibrary.com/content/video/V6362759554112</t>
  </si>
  <si>
    <t>Problem 6.7 - Determining Seismic Forces using the Simplified Alternative Method</t>
  </si>
  <si>
    <t>International building code | Walls | Roofing | Bearing walls | Seismic design | Seismic loads</t>
  </si>
  <si>
    <t>https://www.accessengineeringlibrary.com/content/video/V6362759666112</t>
  </si>
  <si>
    <t>Problem 2.7 - Determining Seismic Load Combinations</t>
  </si>
  <si>
    <t>Seismic loads | Load combinations | International building code | Gravity load | Design load | Live load</t>
  </si>
  <si>
    <t>https://www.accessengineeringlibrary.com/content/video/V6362759764112</t>
  </si>
  <si>
    <t>Problem 3.2 - Determining Column Live Load Using Live Load Reductions</t>
  </si>
  <si>
    <t>Live load | Live load reduction | International building code | Design load | Roofing | IBC codes for gravity loads</t>
  </si>
  <si>
    <t>https://www.accessengineeringlibrary.com/content/video/V6362760747112</t>
  </si>
  <si>
    <t>Problem 4.11 - Determining Wind on Ice Loading</t>
  </si>
  <si>
    <t>Wind load | International building code | Design load | Ice loads | Wind speed | Loads</t>
  </si>
  <si>
    <t>https://www.accessengineeringlibrary.com/content/video/V6362760748112</t>
  </si>
  <si>
    <t>Problem 3.10 - Determining Rain Loading</t>
  </si>
  <si>
    <t>Roofing | International building code | Rain loads | Design load | Water wells | Flow rate</t>
  </si>
  <si>
    <t>https://www.accessengineeringlibrary.com/content/video/V6363379055112</t>
  </si>
  <si>
    <t>Mechanics of Materials(Solids): How to Use This Online Course Successfully</t>
  </si>
  <si>
    <t>Wood</t>
  </si>
  <si>
    <t>https://www.accessengineeringlibrary.com/content/video/YT9781265649159_01</t>
  </si>
  <si>
    <t>Mechanics of Materials: Lesson 1 - Intro to Solids, Statics Review Example Problem</t>
  </si>
  <si>
    <t>Statics | Internal force | Static equilibrium | Solid mechanics | Bending moment diagrams | Triangles</t>
  </si>
  <si>
    <t>https://www.accessengineeringlibrary.com/content/video/YT9781265649159_02</t>
  </si>
  <si>
    <t>Mechanics of Materials: Lesson 2 - Normal Stress, Review of Units</t>
  </si>
  <si>
    <t>Normal stress | Solid mechanics | Statics | Sine | Tension | Stress measurement</t>
  </si>
  <si>
    <t>https://www.accessengineeringlibrary.com/content/video/YT9781265649159_03</t>
  </si>
  <si>
    <t>Mechanics of Materials: Lesson 3 - Normal Stress with Distributed Load</t>
  </si>
  <si>
    <t>Normal stress | Mechanical engineering | Loads | Statics | Static load | Gravity load</t>
  </si>
  <si>
    <t>https://www.accessengineeringlibrary.com/content/video/YT9781265649159_04</t>
  </si>
  <si>
    <t>Mechanics of Materials: Lesson 4 - Shear Stress, Single and Double Shear Example</t>
  </si>
  <si>
    <t>Shear stress | Statics | Shear force | Fluidized bed combustion | Normal stress | Shear failures</t>
  </si>
  <si>
    <t>https://www.accessengineeringlibrary.com/content/video/YT9781265649159_05</t>
  </si>
  <si>
    <t>Mechanics of Materials: Lesson 5 - Bearing Stress Explained, Example Problem</t>
  </si>
  <si>
    <t>Bearing pressure | Bolts | Shear stress | Stress analysis | Solid mechanics | Shear force</t>
  </si>
  <si>
    <t>https://www.accessengineeringlibrary.com/content/video/YT9781265649159_06</t>
  </si>
  <si>
    <t>Mechanics of Materials: Lesson 6 - Factor of Safety Explained, Example Problem</t>
  </si>
  <si>
    <t>Safety factors | Stress analysis | Shear stress | Shear force | Safety engineering | Safety analysis</t>
  </si>
  <si>
    <t>https://www.accessengineeringlibrary.com/content/video/YT9781265649159_07</t>
  </si>
  <si>
    <t>Mechanics of Materials: Lesson 7 - Intro to Strain and Poisson's Ratio</t>
  </si>
  <si>
    <t>Poisson ratio | Normal strain | Trigonometry | Law of cosines | Deformation | Cosine</t>
  </si>
  <si>
    <t>Civil engineering | Mechanical engineering | Materials engineering | Mathematics | Industrial engineering</t>
  </si>
  <si>
    <t>https://www.accessengineeringlibrary.com/content/video/YT9781265649159_08</t>
  </si>
  <si>
    <t>Mechanics of Materials: Lesson 8 - Shear Strain Explained, Sign Convention</t>
  </si>
  <si>
    <t>Shear strain | Trigonometry | Shear deformation | Triangles | Right triangles | Deformation</t>
  </si>
  <si>
    <t>https://www.accessengineeringlibrary.com/content/video/YT9781265649159_09</t>
  </si>
  <si>
    <t>Mechanics of Materials: Lesson 9 - Stress Strain Diagram, Guaranteed for Exam 1!</t>
  </si>
  <si>
    <t>Stress strain diagrams | Elastic modulus | True stress | Deformation | Yield strength | Necking</t>
  </si>
  <si>
    <t>Civil engineering | Mechanical engineering | Materials engineering | Industrial engineering</t>
  </si>
  <si>
    <t>https://www.accessengineeringlibrary.com/content/video/YT9781265649159_10</t>
  </si>
  <si>
    <t>Mechanics of Materials: Lesson 10 - .2% Offset Rule Explained, Yield Point</t>
  </si>
  <si>
    <t>Yield points | Yield stress | Stress strain diagrams | Grain boundaries | Stress | Deformation</t>
  </si>
  <si>
    <t>https://www.accessengineeringlibrary.com/content/video/YT9781265649159_11</t>
  </si>
  <si>
    <t>Mechanics of Materials: Lesson 11 - Modulus of Elasticity Example Problem</t>
  </si>
  <si>
    <t>Elastic modulus | Tensile stress | Mechanical properties | Mechanical cables | Sine | Stress</t>
  </si>
  <si>
    <t>Materials engineering | Civil engineering | Mechanical engineering | Mathematics</t>
  </si>
  <si>
    <t>https://www.accessengineeringlibrary.com/content/video/YT9781265649159_12</t>
  </si>
  <si>
    <t>Mechanics of Materials: Lesson 12 - Strain Energy; Example Problems From Stress Strain Diagram""</t>
  </si>
  <si>
    <t>How to Ace Mechanics of Materials with Jeff Hanson""</t>
  </si>
  <si>
    <t>Strain energy | Stress strain diagrams | Deformation | Yield strength | Elongation | Elastic modulus""</t>
  </si>
  <si>
    <t>Civil engineering | Mechanical engineering | Industrial engineering | Materials engineering""</t>
  </si>
  <si>
    <t>https://www.accessengineeringlibrary.com/content/video/YT9781265649159_13</t>
  </si>
  <si>
    <t>Mechanics of Materials: Lesson 13 - Stress Strain Diagram Example Problem</t>
  </si>
  <si>
    <t>Stress strain diagrams | Elastic modulus | Steel | Stainless steel | Nickel alloys | Deformation</t>
  </si>
  <si>
    <t>https://www.accessengineeringlibrary.com/content/video/YT9781265649159_14</t>
  </si>
  <si>
    <t>Mechanics of Materials: Lesson 14 - Poisson's Ratio Example Problem, Using Strain</t>
  </si>
  <si>
    <t>Poisson ratio | Elastic modulus | Beam columns | Structural beams | Materials engineering | Axial stress</t>
  </si>
  <si>
    <t>https://www.accessengineeringlibrary.com/content/video/YT9781265649159_15</t>
  </si>
  <si>
    <t>Mechanics of Materials: Lesson 15 - Shear Stress Strain Diagram</t>
  </si>
  <si>
    <t>Shear stress | Shear strain | Shear modulus | Torsion | Stress strain diagrams | Shear diagrams</t>
  </si>
  <si>
    <t>https://www.accessengineeringlibrary.com/content/video/YT9781265649159_16</t>
  </si>
  <si>
    <t>Mechanics of Materials: Lesson 16 - Fatigue and Creep Failures with S-N Diagram</t>
  </si>
  <si>
    <t>Creep | Fatigue | Stress fatigue | Yield strength | Materials engineering | Fatigue limits</t>
  </si>
  <si>
    <t>https://www.accessengineeringlibrary.com/content/video/YT9781265649159_17</t>
  </si>
  <si>
    <t>Mechanics of Materials: Lesson 17 - Axial Elongation Due to Axial Load Example</t>
  </si>
  <si>
    <t>Axial load | Elongation | Elastic modulus | Tension | Shafts | Axial members</t>
  </si>
  <si>
    <t>https://www.accessengineeringlibrary.com/content/video/YT9781265649159_18</t>
  </si>
  <si>
    <t>Mechanics of Materials: Lesson 18 - Axial Elongation Example Problem, Displacement</t>
  </si>
  <si>
    <t>Elongation | Statics | Steel | Static load | Loads | Loaded members</t>
  </si>
  <si>
    <t>Materials engineering | Civil engineering | Mechanical engineering</t>
  </si>
  <si>
    <t>https://www.accessengineeringlibrary.com/content/video/YT9781265649159_19</t>
  </si>
  <si>
    <t>Mechanics of Materials: Lesson 19 - Intro to Compatibility Equations &amp; Indeterminate Composite Beam</t>
  </si>
  <si>
    <t>Composites | Composite beams | Steel | Structural steel | Structural engineering | Stress distribution</t>
  </si>
  <si>
    <t>https://www.accessengineeringlibrary.com/content/video/YT9781265649159_20</t>
  </si>
  <si>
    <t>Mechanics of Materials: Lesson 20 -Statically Indeterminate Superposition Material Between Two Walls</t>
  </si>
  <si>
    <t>Superposition | Elongation | Steel | Wake flow | Statics | Shear force</t>
  </si>
  <si>
    <t>https://www.accessengineeringlibrary.com/content/video/YT9781265649159_21</t>
  </si>
  <si>
    <t>Mechanics of Materials: Lesson 21 - Thermal Coefficient of Expansion, Axial Elongation</t>
  </si>
  <si>
    <t>Thermal expansion coefficient | Elongation | Normal stress | Thermal systems | Thermal stresses | Thermal expansion</t>
  </si>
  <si>
    <t>Materials engineering | Civil engineering | Mechanical engineering | Chemical engineering | Sciences</t>
  </si>
  <si>
    <t>https://www.accessengineeringlibrary.com/content/video/YT9781265649159_22</t>
  </si>
  <si>
    <t>Mechanics of Materials: Lesson 22 - Stress Riser Concentration Problem; Stress Flow""</t>
  </si>
  <si>
    <t>Stress concentrations | Stress concentration factor | Solid geometry | Stress | Cracking | Bending stress""</t>
  </si>
  <si>
    <t>Civil engineering | Mechanical engineering | Mathematics | Materials engineering""</t>
  </si>
  <si>
    <t>https://www.accessengineeringlibrary.com/content/video/YT9781265649159_23</t>
  </si>
  <si>
    <t>Mechanics of Materials: Exam 1 Review Problem 1, Stress</t>
  </si>
  <si>
    <t>Stress | Shear stress | Bearing pressure | Brackets | Sine | Shear force</t>
  </si>
  <si>
    <t>https://www.accessengineeringlibrary.com/content/video/YT9781265649159_25</t>
  </si>
  <si>
    <t>Mechanics of Materials: Exam 1 Review Problem 2, Strain and Shear Strain</t>
  </si>
  <si>
    <t>Shear strain | Shear deformation | Normal strain | Triangles | Right triangles</t>
  </si>
  <si>
    <t>https://www.accessengineeringlibrary.com/content/video/YT9781265649159_26</t>
  </si>
  <si>
    <t>Mechanics of Materials: Exam 1 Review Problem 3, Material Properties</t>
  </si>
  <si>
    <t>Material properties | Volume | Yield strength | Stress analysis | Plastic deformation | Materials engineering</t>
  </si>
  <si>
    <t>Materials engineering | Chemical engineering | Mechanical engineering | Sciences | Civil engineering | Industrial engineering</t>
  </si>
  <si>
    <t>https://www.accessengineeringlibrary.com/content/video/YT9781265649159_27</t>
  </si>
  <si>
    <t>Mechanics of Materials: Lesson 23 - Shear Stress Due to Torsion, Polar Moment of Inertia</t>
  </si>
  <si>
    <t>Shear stress | Torsion | Shafts | Torque | Hollow shafts | Moment of inertia</t>
  </si>
  <si>
    <t>https://www.accessengineeringlibrary.com/content/video/YT9781265649159_30</t>
  </si>
  <si>
    <t>Mechanic of Materials: Lesson 24 -- Power Transmission Torque Example</t>
  </si>
  <si>
    <t>Torque | Power transmission | Shear stress | Torsion | Angular velocity | Shafts</t>
  </si>
  <si>
    <t>Sciences | Electrical engineering | Energy engineering | Mechanical engineering | Civil engineering</t>
  </si>
  <si>
    <t>https://www.accessengineeringlibrary.com/content/video/YT9781265649159_31</t>
  </si>
  <si>
    <t>Mechanics of Materials: Lesson 25 - Angle of Twist Due to Torque, Torsion</t>
  </si>
  <si>
    <t>Torsion | Torque | Shafts | Walls | Steel | Shear modulus</t>
  </si>
  <si>
    <t>https://www.accessengineeringlibrary.com/content/video/YT9781265649159_32</t>
  </si>
  <si>
    <t>Mechanics of Materials: Lesson 26 - Statically Indeterminate Angle of Twist Due to Torque</t>
  </si>
  <si>
    <t>Torque | Torsion | Shafts | Shear stress | Mechanical engineering | Internal force</t>
  </si>
  <si>
    <t>https://www.accessengineeringlibrary.com/content/video/YT9781265649159_33</t>
  </si>
  <si>
    <t>Mechanics of Materials: Lesson 27 - Indeterminate Angle of Twist with Gear Ratios</t>
  </si>
  <si>
    <t>Gear train | Shafts | Torque | Torsion | Steel | Unit conversion</t>
  </si>
  <si>
    <t>Mechanical engineering | Sciences | Civil engineering | Materials engineering | Mathematics</t>
  </si>
  <si>
    <t>https://www.accessengineeringlibrary.com/content/video/YT9781265649159_34</t>
  </si>
  <si>
    <t>Mechanics of Materials: Lesson 28 - Beam Bending, Shear Moment Diagram Example</t>
  </si>
  <si>
    <t>Bending moment diagrams | Shear diagrams | Shear load | Shear force | Bending moment | Cantilever beams</t>
  </si>
  <si>
    <t>https://www.accessengineeringlibrary.com/content/video/YT9781265649159_35</t>
  </si>
  <si>
    <t>Mechanics of Materials: Lesson 29 - Shear Moment Diagram, Graphic Method...Challenging</t>
  </si>
  <si>
    <t>Bending moment diagrams | Shear diagrams | Statics | Shear force | Triangles | Parabolas</t>
  </si>
  <si>
    <t>https://www.accessengineeringlibrary.com/content/video/YT9781265649159_36</t>
  </si>
  <si>
    <t>Mechanics of Materials: Lesson 30 - Shear Moment Diagram, Equation Method...Challenging!</t>
  </si>
  <si>
    <t>Shear diagrams | Bending moment diagrams | Parabolas | Shear load | Parabolic equations | Critical points</t>
  </si>
  <si>
    <t>https://www.accessengineeringlibrary.com/content/video/YT9781265649159_37</t>
  </si>
  <si>
    <t>Mechanics of Materials: Lesson 31 - The Flexure Formula, Beam Bending Example</t>
  </si>
  <si>
    <t>Flexure | Bending stress | Moment of inertia | Stress distribution | Compressive stress | Tension</t>
  </si>
  <si>
    <t>Civil engineering | Materials engineering | Mechanical engineering | Sciences</t>
  </si>
  <si>
    <t>https://www.accessengineeringlibrary.com/content/video/YT9781265649159_38</t>
  </si>
  <si>
    <t>Mechanics of Materials: Lesson 32 - Never Get Polar and Area Moment of Inertia Backwards Again</t>
  </si>
  <si>
    <t>Moment of inertia | Shafts | Torsion | Polar moment of inertia of an area | Statics | Shear diagrams</t>
  </si>
  <si>
    <t>https://www.accessengineeringlibrary.com/content/video/YT9781265649159_39</t>
  </si>
  <si>
    <t>Mechanics of Materials: Lesson 33 - The Flexure Formula with Shear Moment Diagram</t>
  </si>
  <si>
    <t>Shear diagrams | Flexure | Flexural shear | Bending moment diagrams | Bending stress | Stress analysis</t>
  </si>
  <si>
    <t>https://www.accessengineeringlibrary.com/content/video/YT9781265649159_40</t>
  </si>
  <si>
    <t>Mechanics of Materials: Lesson 34 - Unsymmetrical Beam Bending Example Problem</t>
  </si>
  <si>
    <t>Bending stress | Vector analysis | Stress analysis | Torque | Moment of inertia | Flexure</t>
  </si>
  <si>
    <t>Civil engineering | Mechanical engineering | Mathematics | Sciences | Materials engineering</t>
  </si>
  <si>
    <t>https://www.accessengineeringlibrary.com/content/video/YT9781265649159_41</t>
  </si>
  <si>
    <t>Mechanics of Materials: Lesson 35 - Composite Beam Bending Example Problem</t>
  </si>
  <si>
    <t>Composite beams | Composites | Steel | Brass | Stress transformation | Stress analysis</t>
  </si>
  <si>
    <t>https://www.accessengineeringlibrary.com/content/video/YT9781265649159_42</t>
  </si>
  <si>
    <t>Mechanics of Materials: Lesson 36 - What is Transverse Shear? Explained</t>
  </si>
  <si>
    <t>Shear stress | Axial stress | Shear force | Normal stress | Engines | Moment of inertia</t>
  </si>
  <si>
    <t>https://www.accessengineeringlibrary.com/content/video/YT9781265649159_43</t>
  </si>
  <si>
    <t>Mechanics of Materials: Lesson 37 - What the Heck is Q? Example Problem</t>
  </si>
  <si>
    <t>Centers of mass | Moment of inertia | Statics | Shear flow | Shape measurement | Quality control</t>
  </si>
  <si>
    <t>Sciences | Civil engineering | Mechanical engineering | Chemical engineering | Mathematics | Engineering management | Industrial engineering</t>
  </si>
  <si>
    <t>https://www.accessengineeringlibrary.com/content/video/YT9781265649159_44</t>
  </si>
  <si>
    <t>Mechanics of Materials: Lesson 38 - Maximum Transverse Shear Stress in a Beam</t>
  </si>
  <si>
    <t>Shear stress | Shear force | Moment of inertia | Stress distribution | Flanges | Centers of mass</t>
  </si>
  <si>
    <t>https://www.accessengineeringlibrary.com/content/video/YT9781265649159_45</t>
  </si>
  <si>
    <t>Mechanics of Materials: Lesson 39 - Shear Flow Introduction, Example Problem</t>
  </si>
  <si>
    <t>Shear flow | Moment of inertia | Shear force | Fasteners | Structural engineering | Structural beams</t>
  </si>
  <si>
    <t>https://www.accessengineeringlibrary.com/content/video/YT9781265649159_46</t>
  </si>
  <si>
    <t>Mechanics of Materials: Lesson 40 - Harder Built- Up Member Shear Flow Problem</t>
  </si>
  <si>
    <t>Shear flow | Shear force | Moment of inertia | Critical points | Nails | Wood shear resistance</t>
  </si>
  <si>
    <t>https://www.accessengineeringlibrary.com/content/video/YT9781265649159_47</t>
  </si>
  <si>
    <t>Mechanics of Materials: Lesson 41 - Intro to Thin Walled Pressure Vessels</t>
  </si>
  <si>
    <t>Pressure vessels | Hoop stress | Stress | Combined stress | Atmospheric pressure | Welding</t>
  </si>
  <si>
    <t>Chemical engineering | Mechanical engineering | Civil engineering | Sciences | Industrial engineering | Materials engineering</t>
  </si>
  <si>
    <t>https://www.accessengineeringlibrary.com/content/video/YT9781265649159_48</t>
  </si>
  <si>
    <t>Mechanics of Materials: Lesson 42 - Thin Walled Pressure Vessel Example Problem</t>
  </si>
  <si>
    <t>Pressure vessels | Stress | Hoop stress | Shear stress | Atmospheric pressure | Vacuums</t>
  </si>
  <si>
    <t>Chemical engineering | Mechanical engineering | Civil engineering | Sciences</t>
  </si>
  <si>
    <t>https://www.accessengineeringlibrary.com/content/video/YT9781265649159_49</t>
  </si>
  <si>
    <t>Mechanics of Materials: Lesson 43 - Harder Thin Walled Pressure Vessel Example Problem</t>
  </si>
  <si>
    <t>Pressure vessels | Hoop stress | Steel | Thermal expansion | Thermal stresses | Temperature</t>
  </si>
  <si>
    <t>Chemical engineering | Mechanical engineering | Civil engineering | Materials engineering | Sciences</t>
  </si>
  <si>
    <t>https://www.accessengineeringlibrary.com/content/video/YT9781265649159_50</t>
  </si>
  <si>
    <t>Mechanics of Materials: Exam 2 Review Summary</t>
  </si>
  <si>
    <t>Torsion | Shear flow | Pressure vessels | Flexure | Flexural shear | Steel</t>
  </si>
  <si>
    <t>https://www.accessengineeringlibrary.com/content/video/YT9781265649159_51</t>
  </si>
  <si>
    <t>Mechanics of Materials: Exam 2, Problem 2, Beam Bending with Shear Moment Diagram</t>
  </si>
  <si>
    <t>Shear diagrams | Bending moment diagrams | Bending stress | Structural mechanics | Structural beams | Stress analysis</t>
  </si>
  <si>
    <t>https://www.accessengineeringlibrary.com/content/video/YT9781265649159_53</t>
  </si>
  <si>
    <t>Mechanics of Materials: Exam 2 Review - Problem 3, Composite Beam Example</t>
  </si>
  <si>
    <t>Composites | Composite beams | Bending stress | Steel | Wood | Moment of inertia</t>
  </si>
  <si>
    <t>https://www.accessengineeringlibrary.com/content/video/YT9781265649159_54</t>
  </si>
  <si>
    <t>Mechanics of Materials: Exam 2, Problem 4, Transverse Shear and Stress Flow</t>
  </si>
  <si>
    <t>Shear stress | Shear flow | Stress analysis | Allowable load | Wood | Shear load</t>
  </si>
  <si>
    <t>https://www.accessengineeringlibrary.com/content/video/YT9781265649159_55</t>
  </si>
  <si>
    <t>Mechanics of Materials: Exam 2, Problem 5, Thin Walled Pressure Vessel Example</t>
  </si>
  <si>
    <t>Pressure vessels | Bolts | Hoop stress | Bolt strength | Stress | Welding</t>
  </si>
  <si>
    <t>Chemical engineering | Mechanical engineering | Civil engineering | Industrial engineering | Materials engineering</t>
  </si>
  <si>
    <t>https://www.accessengineeringlibrary.com/content/video/YT9781265649159_56</t>
  </si>
  <si>
    <t>Mechanics of Material: Lesson 44 - Combined Loading Introduction Problem</t>
  </si>
  <si>
    <t>Combined stress | Bending stress | Shear stress | Brackets | Shear force | Axial members</t>
  </si>
  <si>
    <t>https://www.accessengineeringlibrary.com/content/video/YT9781265649159_57</t>
  </si>
  <si>
    <t>Mechanics of Materials: Lesson 45 - Combined Loading, The Graphical Method</t>
  </si>
  <si>
    <t>Combined stress | Shear stress | Bending stress | Torsion | Local stress | Axial load</t>
  </si>
  <si>
    <t>https://www.accessengineeringlibrary.com/content/video/YT9781265649159_58</t>
  </si>
  <si>
    <t>Mechanics of Materials: Lesson 46 - Tough Combined Load Example Problem</t>
  </si>
  <si>
    <t>Shear stress | Bending stress | Combined loads | Local stress | Compressive stress | Torsion</t>
  </si>
  <si>
    <t>https://www.accessengineeringlibrary.com/content/video/YT9781265649159_59</t>
  </si>
  <si>
    <t>Mechanics of Materials: Lesson 47 - Combined Loading Continued. . .</t>
  </si>
  <si>
    <t>Combined stress | Shear stress | Moment of inertia | Statics | Static equilibrium | Shear diagrams</t>
  </si>
  <si>
    <t>https://www.accessengineeringlibrary.com/content/video/YT9781265649159_60</t>
  </si>
  <si>
    <t>Mechanics of Materials: Lesson 48 - Stress Transformations Using the Equation Method</t>
  </si>
  <si>
    <t>Stress transformation | Mohr's circle | Shear stress | Normal stress | Stress | Sine</t>
  </si>
  <si>
    <t>https://www.accessengineeringlibrary.com/content/video/YT9781265649159_61</t>
  </si>
  <si>
    <t>Mechanics of Materials: Lesson 49 - Max Shear and Principal Stress with Equation Method</t>
  </si>
  <si>
    <t>Principal stress | Shear stress | Maximum shear stress | Stress transformation | Normal stress | Mohr's circle</t>
  </si>
  <si>
    <t>https://www.accessengineeringlibrary.com/content/video/YT9781265649159_62</t>
  </si>
  <si>
    <t>Mechanics of Materials: Lesson 50 - Mohr's Circle for Stress Transformation</t>
  </si>
  <si>
    <t>Stress transformation | Normal stress | Mohr's circle | Shear stress | Principal stress | Circles</t>
  </si>
  <si>
    <t>https://www.accessengineeringlibrary.com/content/video/YT9781265649159_63</t>
  </si>
  <si>
    <t>Mechanics of Materials: Lesson 51 - Mohr's Circle for Stress on a Plane and Elements</t>
  </si>
  <si>
    <t>Mohr's circle | Stress transformation | Triangles | Sine | Tension | Stress</t>
  </si>
  <si>
    <t>https://www.accessengineeringlibrary.com/content/video/YT9781265649159_64</t>
  </si>
  <si>
    <t>Mechanics of Materials: Lesson 52 - Deriving Stress Element for Circle, Combined Loading</t>
  </si>
  <si>
    <t>Combined stress | Stress | Mohr's circle | Shear stress | Principal stress | Maximum shear stress</t>
  </si>
  <si>
    <t>https://www.accessengineeringlibrary.com/content/video/YT9781265649159_65</t>
  </si>
  <si>
    <t>Mechanics of Materials: Lesson 53 - Mohr's Circle on Thin Wall Pressure Vessel</t>
  </si>
  <si>
    <t>Mohr's circle | Pressure vessels | Shear stress | Combined stress | Torsion | Stress analysis</t>
  </si>
  <si>
    <t>https://www.accessengineeringlibrary.com/content/video/YT9781265649159_66</t>
  </si>
  <si>
    <t>Mechanics of Materials: Lesson 54 - Absolute Max Shear Stress with Volume Element</t>
  </si>
  <si>
    <t>Shear stress | Maximum shear stress | Mohr's circle | Volume | Principal stress | Circles</t>
  </si>
  <si>
    <t>https://www.accessengineeringlibrary.com/content/video/YT9781265649159_67</t>
  </si>
  <si>
    <t>Mechanics of Materials: Lesson 55 - Tresca, Von Mises, and Rankine Failure Theories Explained</t>
  </si>
  <si>
    <t>Solid mechanics failure theories | Von Mises | Tresca | Maximum normal stress theory | Principal stress | Stress analysis</t>
  </si>
  <si>
    <t>https://www.accessengineeringlibrary.com/content/video/YT9781265649159_68</t>
  </si>
  <si>
    <t>Mechanics of Materials: Lesson 56 - Strain Transformation with Equations and Mohr's Circle</t>
  </si>
  <si>
    <t>Mohr's circle | Shear strain | Stress transformation | Stress strain relations | Shear stress | Deformation</t>
  </si>
  <si>
    <t>https://www.accessengineeringlibrary.com/content/video/YT9781265649159_69</t>
  </si>
  <si>
    <t>Mechanics of Materials: Lesson 57 - Strain Gauges and Rosettes Explained</t>
  </si>
  <si>
    <t>Mohr's circle | Deformation | Bolts | Thermoset epoxy polymers | Shear strain | Torque</t>
  </si>
  <si>
    <t>Civil engineering | Mechanical engineering | Industrial engineering | Materials engineering | Chemical engineering | Sciences</t>
  </si>
  <si>
    <t>https://www.accessengineeringlibrary.com/content/video/YT9781265649159_70</t>
  </si>
  <si>
    <t>Mechanics of Materials: Lesson 58 - Strain Rosette Example Problem with Mohr's Circle</t>
  </si>
  <si>
    <t>Mohr's circle | Cosine | Sine | Triangles | Stress | Principal stress</t>
  </si>
  <si>
    <t>https://www.accessengineeringlibrary.com/content/video/YT9781265649159_71</t>
  </si>
  <si>
    <t>Mechanics of Materials Lesson 59 - Introduction to Beam Design Example Problem</t>
  </si>
  <si>
    <t>Beam design | Wood shear resistance | Bending moment diagrams | Wood beams | Structural beams | Wood design</t>
  </si>
  <si>
    <t>https://www.accessengineeringlibrary.com/content/video/YT9781265649159_72</t>
  </si>
  <si>
    <t>Mechanics of Materials: Lesson 60 - Beam Design Section Modulus Tips and Tricks</t>
  </si>
  <si>
    <t>Beam design | Flanges | Maximum shear stress | Flexure | Rectangular beams | Shear diagrams</t>
  </si>
  <si>
    <t>https://www.accessengineeringlibrary.com/content/video/YT9781265649159_73</t>
  </si>
  <si>
    <t>Mechanics of Materials: Lesson 61 - Wide Flange Beam Design with Section Modulus</t>
  </si>
  <si>
    <t>Beam design | Flanges | Shear diagrams | Structural engineering | Structural beams | Shear stress</t>
  </si>
  <si>
    <t>https://www.accessengineeringlibrary.com/content/video/YT9781265649159_74</t>
  </si>
  <si>
    <t>Mechanics of Materials: Lesson 62 - Slope and Deflection Beam Bending Introduction</t>
  </si>
  <si>
    <t>Deflection | Boundary conditions | Shear load | Shear deflection | Beam deflection | Shear diagrams</t>
  </si>
  <si>
    <t>Civil engineering | Mathematics | Mechanical engineering</t>
  </si>
  <si>
    <t>https://www.accessengineeringlibrary.com/content/video/YT9781265649159_75</t>
  </si>
  <si>
    <t>Mechanics of Materials: Lesson 63 - Killer Slope and Deflection Problem</t>
  </si>
  <si>
    <t>Deflection | Integrals | Structural beams | Boundary conditions | Algebra | Calculus</t>
  </si>
  <si>
    <t>https://www.accessengineeringlibrary.com/content/video/YT9781265649159_76</t>
  </si>
  <si>
    <t>Mechanics of Materials: Lesson 64 - Slope and Deflection Equation Example Problem</t>
  </si>
  <si>
    <t>Deflection | Boundary conditions | Integrals | Structural beams | Wake flow | Statics</t>
  </si>
  <si>
    <t>Civil engineering | Mathematics | Mechanical engineering | Chemical engineering</t>
  </si>
  <si>
    <t>https://www.accessengineeringlibrary.com/content/video/YT9781265649159_77</t>
  </si>
  <si>
    <t>Mechanics of Materials: Lesson 65 - Slope and Deflection Tricks and Tips to Reduce Errors!</t>
  </si>
  <si>
    <t>Deflection | Unit conversion | Cantilever beams | Boundary conditions | Screws | Algebra</t>
  </si>
  <si>
    <t>https://www.accessengineeringlibrary.com/content/video/YT9781265649159_78</t>
  </si>
  <si>
    <t>Mechanics of Materials: Lesson 66 - Intro to Column Buckling</t>
  </si>
  <si>
    <t>Column buckling | Short columns | Moment of inertia | Force | K value | Centers of mass</t>
  </si>
  <si>
    <t>https://www.accessengineeringlibrary.com/content/video/YT9781265649159_79</t>
  </si>
  <si>
    <t>Mechanics of Materials: Lesson 67 - Beam Column Buckling Example</t>
  </si>
  <si>
    <t>Column buckling | Beam buckling | Beam columns | Safety factors | Moment of inertia | Buckling</t>
  </si>
  <si>
    <t>https://www.accessengineeringlibrary.com/content/video/YT9781265649159_80</t>
  </si>
  <si>
    <t>Mechanics of Materials: Exam 3 Review, Problem 2 Stress Transformation Using Mohr's Circle</t>
  </si>
  <si>
    <t>Mohr's circle | Stress transformation | Normal stress | Principal stress | Shear stress | Trigonometry</t>
  </si>
  <si>
    <t>https://www.accessengineeringlibrary.com/content/video/YT9781265649159_83</t>
  </si>
  <si>
    <t>Mechanics of Materials: Lesson 68 - Solids Complete! What's Next?</t>
  </si>
  <si>
    <t>Stress transformation | Shear strain | Torsion | Shear stress | Pressure vessels | Flexure</t>
  </si>
  <si>
    <t>https://www.accessengineeringlibrary.com/content/video/YT9781265649159_84</t>
  </si>
  <si>
    <t>Archived</t>
  </si>
  <si>
    <t>Spreadsheets</t>
  </si>
  <si>
    <t>Activated Sludge Aeration Tank Calculations</t>
  </si>
  <si>
    <t>Harlan Bengtson Ph.D., P.E.</t>
  </si>
  <si>
    <t>Aeration tanks | Activated sludge systems | Volume | Solids residence time | Activated sludge parameters | Activated sludge flow</t>
  </si>
  <si>
    <t>Environmental engineering | Chemical engineering | Mechanical engineering | Sciences</t>
  </si>
  <si>
    <t>https://www.accessengineeringlibrary.com/content/calculator/S0001_Activated_Sludge_Aeration_Tank_Calculations</t>
  </si>
  <si>
    <t>Analysis of a Simply Supported Beam</t>
  </si>
  <si>
    <t>Mark Rossow, Ph.D., P.E.</t>
  </si>
  <si>
    <t>Structural beams | Shear diagrams | Shear deflection | Elastic modulus | Deflection</t>
  </si>
  <si>
    <t>https://www.accessengineeringlibrary.com/content/calculator/S0002_Analysis_of_a_Simply_Supported_Beam</t>
  </si>
  <si>
    <t>Compressible (Fanno Flow) of Air in a Pipe</t>
  </si>
  <si>
    <t>Compressible flow | Pipe flow | Incompressible flow | Pressure drop | Moody friction factor | Friction factors</t>
  </si>
  <si>
    <t>https://www.accessengineeringlibrary.com/content/calculator/S0003_Compressible_Fanno_Flow_of_Air_in_a_Pipe</t>
  </si>
  <si>
    <t>Detention Pond Routing by the Storage Indication Method</t>
  </si>
  <si>
    <t>Detention pond routing | Hydrographs | Weirs | Sharp crested weirs | Pipes | Composites</t>
  </si>
  <si>
    <t>Civil engineering | Energy engineering | Environmental engineering | Sciences | Mechanical engineering | Materials engineering</t>
  </si>
  <si>
    <t>https://www.accessengineeringlibrary.com/content/calculator/S0004_Detention_Pond_Routing_by_the_Storage_Indication_Method</t>
  </si>
  <si>
    <t>Forced Convection Heat Transfer Coefficients</t>
  </si>
  <si>
    <t>Forced convection heat transfer coefficient | Turbulent flow | Pipe flow | Laminar flow | Convective heat transfer | Heat transfer</t>
  </si>
  <si>
    <t>https://www.accessengineeringlibrary.com/content/calculator/S0005_Forced_Convection_Heat_Transfer_Coefficients</t>
  </si>
  <si>
    <t>Incompressible Flow in Pipes and Channels</t>
  </si>
  <si>
    <t>Pipe flow | Incompressible flow | Moody friction factor | Flow rate | Fanning friction factor | Viscous fluids</t>
  </si>
  <si>
    <t>https://www.accessengineeringlibrary.com/content/calculator/S0006_Incompressible_Flow_in_Pipes_and_Channels</t>
  </si>
  <si>
    <t>Lime Soda Water Softening</t>
  </si>
  <si>
    <t>Lime soda softening | Water hardness | Flow rate | Chemicals | Water softening | Carbon dioxide</t>
  </si>
  <si>
    <t>Environmental engineering | Chemical engineering | Civil engineering | Mechanical engineering | Sciences</t>
  </si>
  <si>
    <t>https://www.accessengineeringlibrary.com/content/calculator/S0007_Lime_Soda_Water_Softening</t>
  </si>
  <si>
    <t>Natural Convection Heat Transfer Coefficients</t>
  </si>
  <si>
    <t>Natural convection heat transfer coefficient | Fluid properties | Convective heat transfer | Surface hardening | Natural convection | Heat transfer</t>
  </si>
  <si>
    <t>Chemical engineering | Mechanical engineering | Sciences | Civil engineering | Industrial engineering | Materials engineering</t>
  </si>
  <si>
    <t>https://www.accessengineeringlibrary.com/content/calculator/S0008_Natural_Convection_Heat_Transfer_Coefficients</t>
  </si>
  <si>
    <t>Partially Full Pipe Flow Calculations</t>
  </si>
  <si>
    <t>Pipe flow | Open channel flow | Trigonometric functions | Storm sewers | Roughness coefficient | Flow velocity</t>
  </si>
  <si>
    <t>Chemical engineering | Civil engineering | Mechanical engineering | Mathematics | Energy engineering | Environmental engineering | Materials engineering</t>
  </si>
  <si>
    <t>https://www.accessengineeringlibrary.com/content/calculator/S0009_Partially_Full_Pipe_Flow_Calculations</t>
  </si>
  <si>
    <t>Peak Stormwater Runoff Calculation with the Rational Method</t>
  </si>
  <si>
    <t>Stormwater runoff | Rational method | Watershed areas | Steel | Design storm | Kinematics</t>
  </si>
  <si>
    <t>Civil engineering | Energy engineering | Environmental engineering | Sciences | Materials engineering | Mechanical engineering</t>
  </si>
  <si>
    <t>https://www.accessengineeringlibrary.com/content/calculator/S0010_Peak_Stormwater_Runoff_Calculation_with_the_Rational_Method</t>
  </si>
  <si>
    <t>Thermal Design of Double Pipe Heat Exchangers</t>
  </si>
  <si>
    <t>Heat exchanger design | Double pipe heat exchangers | Pipe design | Heat transfer coefficients | Heat transfer | Temperature coefficients</t>
  </si>
  <si>
    <t>Chemical engineering | Mechanical engineering | Sciences | Civil engineering | Materials engineering</t>
  </si>
  <si>
    <t>https://www.accessengineeringlibrary.com/content/calculator/S0011_Thermal_Design_of_Double_Pipe_Heat_Exchangers</t>
  </si>
  <si>
    <t>Uniform Open Channel Flow (Manning Equation)</t>
  </si>
  <si>
    <t>Open channel flow | Uniform flow | Hydraulic diameter | Flow velocity | Flow rate</t>
  </si>
  <si>
    <t>https://www.accessengineeringlibrary.com/content/calculator/S0012_Uniform_Open_Channel_Flow_Manning_Equation</t>
  </si>
  <si>
    <t>Analysis of a Cantilever Beam</t>
  </si>
  <si>
    <t>Mark Rossow</t>
  </si>
  <si>
    <t>Cantilever beams | Shear diagrams | Shear deflection | Elastic modulus | Deflection</t>
  </si>
  <si>
    <t>https://www.accessengineeringlibrary.com/content/calculator/S0013_Analysis_of_a_Cantilever_Beam</t>
  </si>
  <si>
    <t>Analysis of a Propped Cantilever Beam</t>
  </si>
  <si>
    <t>https://www.accessengineeringlibrary.com/content/calculator/S0014_Analysis_of_a_Propped_Cantilever_Beam</t>
  </si>
  <si>
    <t>Compressible Flow of Air in Non-Circular Ducts</t>
  </si>
  <si>
    <t>Harlan Bengtson, Ph.D., P.E.</t>
  </si>
  <si>
    <t>Compressible flow | Pressure drop | Incompressible flow | Flow rate | Moody friction factor | Friction factors</t>
  </si>
  <si>
    <t>https://www.accessengineeringlibrary.com/content/calculator/S0015_Compressible_Flow_of_Air_in_Non_Circular_Ducts</t>
  </si>
  <si>
    <t>Incompressible Annulus and Duct Flow Calculations</t>
  </si>
  <si>
    <t>Incompressible flow | Flow rate | Pressure drop | Viscous fluids | Turbulent flow | Moody friction factor</t>
  </si>
  <si>
    <t>https://www.accessengineeringlibrary.com/content/calculator/S0016_Incompressible_Annulus_and_Duct_Flow_Calculations</t>
  </si>
  <si>
    <t>Natural Gas Pipeline Flow Calculations</t>
  </si>
  <si>
    <t>Natural gas pipelines | Gas pressure | Gases | Natural gas | Static pressure | Specific viscosity</t>
  </si>
  <si>
    <t>Civil engineering | Electrical engineering | Energy engineering | Mechanical engineering | Chemical engineering | Sciences | Environmental engineering</t>
  </si>
  <si>
    <t>https://www.accessengineeringlibrary.com/content/calculator/S0017_Natural_Gas_Pipeline_Flow_Calculations</t>
  </si>
  <si>
    <t>Analysis of A.C. and D.C. Circuits - Basic Calculations</t>
  </si>
  <si>
    <t>William Prudhomme, B.S.E.E.</t>
  </si>
  <si>
    <t>Circuits | RLC circuits | Resonant circuits | RL circuits | RC circuits | Impedance</t>
  </si>
  <si>
    <t>https://www.accessengineeringlibrary.com/content/calculator/S0018_Analysis_of_AC_and_DC_Circuits_Basic_Calculations</t>
  </si>
  <si>
    <t>Inductance, Capacitance, Resonance and Time Constants - Basic Calculations</t>
  </si>
  <si>
    <t>Inductance | Capacitance | Time constant | Resonance | Reactance | Circuit design</t>
  </si>
  <si>
    <t>Sciences | Materials engineering | Civil engineering | Electrical engineering | Mathematics | Mechanical engineering</t>
  </si>
  <si>
    <t>https://www.accessengineeringlibrary.com/content/calculator/S0019_Inductance_Capacitance_Resonance_and_Time_Constants_Basic_Calculations</t>
  </si>
  <si>
    <t>MBBR Wastewater Treatment Basin Sizing and Aeration Calculations</t>
  </si>
  <si>
    <t>Wastewater treatment | Membrane bioreactors | Aeration systems | Activated sludge process design | Wastewater | Volume</t>
  </si>
  <si>
    <t>Environmental engineering | Bioengineering | Chemical engineering | Mechanical engineering | Sciences</t>
  </si>
  <si>
    <t>https://www.accessengineeringlibrary.com/content/calculator/S0020_MBBR_Wastewater_Treatment_Basin_Sizing_and_Aeration_Calculations</t>
  </si>
  <si>
    <t>Incompressible Orifice Flow Meter Calculations</t>
  </si>
  <si>
    <t>Flow meters | Pipe flow | Static pressure | Fluid dynamics | Pipes | Flow rate measurement</t>
  </si>
  <si>
    <t>https://www.accessengineeringlibrary.com/content/calculator/S0021_Incompressible_Orifice_Flow_Meter_Calculations</t>
  </si>
  <si>
    <t>Liquid-Liquid Extraction Solvent Screening</t>
  </si>
  <si>
    <t>Liquid liquid extraction | Solvents</t>
  </si>
  <si>
    <t>https://www.accessengineeringlibrary.com/content/calculator/S0022_Liquid_Liquid_Extraction_Solvent_Screening</t>
  </si>
  <si>
    <t>Antennas and Transmission Lines - Basic Calculations</t>
  </si>
  <si>
    <t>Antennas | Inductance | Circuit design | Voltage | Impedance | Resonant frequency</t>
  </si>
  <si>
    <t>Electrical engineering | Sciences | Materials engineering | Mechanical engineering</t>
  </si>
  <si>
    <t>https://www.accessengineeringlibrary.com/content/calculator/S0023_Antennas_and_Transmission_Lines_Basic_Calculations</t>
  </si>
  <si>
    <t>Gas Flow Orifice Meter Calculations</t>
  </si>
  <si>
    <t>Gases | Orifice meters | Pipe flow | Static pressure | Fluid dynamics | Flow rate measurement</t>
  </si>
  <si>
    <t>Sciences | Chemical engineering | Civil engineering | Mechanical engineering | Environmental engineering</t>
  </si>
  <si>
    <t>https://www.accessengineeringlibrary.com/content/calculator/S0024_Gas_Flow_Orifice_Meter_Calculations</t>
  </si>
  <si>
    <t>Analysis of a Fixed-Fixed Beam</t>
  </si>
  <si>
    <t>https://www.accessengineeringlibrary.com/content/calculator/S0025_Analysis_of_a_Fixed_Fixed_Beam</t>
  </si>
  <si>
    <t>Field Oxygen Transfer Efficiency and Aeration Diffuser Calculations</t>
  </si>
  <si>
    <t>Henry V. Mott, Ph.D., P.E.</t>
  </si>
  <si>
    <t>Oxygen transfer efficiency | Diffused aeration | Actual oxygen transfer efficiency | Standard oxygen transfer efficiency | Gas flow rate | Manufacturing efficiency</t>
  </si>
  <si>
    <t>Environmental engineering | Chemical engineering | Civil engineering | Mechanical engineering | Industrial engineering</t>
  </si>
  <si>
    <t>https://www.accessengineeringlibrary.com/content/calculator/S0026_Field_Oxygen_Transfer_Efficiency_and_Aeration_Diffuser_Calculations</t>
  </si>
  <si>
    <t>SBR Wastewater Treatment Design Calculations</t>
  </si>
  <si>
    <t>Sequencing batch reactors | Wastewater treatment | Nitrification | Wastewater | Rectangular tanks | Denitrification</t>
  </si>
  <si>
    <t>Bioengineering | Chemical engineering | Environmental engineering</t>
  </si>
  <si>
    <t>https://www.accessengineeringlibrary.com/content/calculator/S0027_SBR_Wastewater_Treatment_Design_Calculations</t>
  </si>
  <si>
    <t>Sharp Crested Weir</t>
  </si>
  <si>
    <t>Sharp crested weirs | Weirs | V notch weirs | Flow rate</t>
  </si>
  <si>
    <t>https://www.accessengineeringlibrary.com/content/calculator/S0028_Sharp_Crested_Weir</t>
  </si>
  <si>
    <t>MBBR Nitrification-Denitrification Calculations</t>
  </si>
  <si>
    <t>Nitrification | Membrane bioreactors | Denitrification | Activated sludge process design | Wastewater treatment | Volume</t>
  </si>
  <si>
    <t>https://www.accessengineeringlibrary.com/content/calculator/S0029_MBBR_Nitrification_Denitrification_Calculations</t>
  </si>
  <si>
    <t>Stress Transformation Calculations</t>
  </si>
  <si>
    <t>Stress transformation | Shear stress | Principal stress | Plane stress</t>
  </si>
  <si>
    <t>https://www.accessengineeringlibrary.com/content/calculator/S0030_Stress_Transformation_Calculations</t>
  </si>
  <si>
    <t>Venturi Meter Liquid Flow Calculations</t>
  </si>
  <si>
    <t>Fluid dynamics | Venturi meters | Pipe flow | Pressure drop | Fluid properties | Flow rate measurement</t>
  </si>
  <si>
    <t>https://www.accessengineeringlibrary.com/content/calculator/S0031_Venturi_Meter_Calculations</t>
  </si>
  <si>
    <t>Continuous 2-span Beam Calculations</t>
  </si>
  <si>
    <t>Shear diagrams | Shear deflection | Elastic modulus | Deflection | Continuous beams</t>
  </si>
  <si>
    <t>https://www.accessengineeringlibrary.com/content/calculator/S0032_Continuous_2-span_Beam_Calculations</t>
  </si>
  <si>
    <t>Overhang Beam Calculations</t>
  </si>
  <si>
    <t>Overhanging beams | Shear diagrams | Shear deflection | Elastic modulus | Deflection</t>
  </si>
  <si>
    <t>https://www.accessengineeringlibrary.com/content/calculator/S0033_Overhang_Beam_Calculations</t>
  </si>
  <si>
    <t>Non-Uniform Flow Surface Profiles</t>
  </si>
  <si>
    <t>Nonuniform flow | Surface profiles | Open channel flow</t>
  </si>
  <si>
    <t>Chemical engineering | Civil engineering | Mechanical engineering | Materials engineering</t>
  </si>
  <si>
    <t>https://www.accessengineeringlibrary.com/content/calculator/S0034_Non-Uniform_Flow_Surface_Profiles</t>
  </si>
  <si>
    <t>Compressibility Factor Calculations</t>
  </si>
  <si>
    <t>Compressibility factor | Gases | Critical temperature | Critical pressure | Gas pressure | Equations of state</t>
  </si>
  <si>
    <t>https://www.accessengineeringlibrary.com/content/calculator/S0035_Compressibility_Factor_Calculator_Final_Protected</t>
  </si>
  <si>
    <t>Reinforced Concrete Beam Deflection</t>
  </si>
  <si>
    <t>Mustafa Mahamid, Ph.D., S.E., P.E.</t>
  </si>
  <si>
    <t>Reinforced concrete beams | Deflection | Long term deflection | Beam deflection | Geometric properties of areas | Design requirements</t>
  </si>
  <si>
    <t>https://www.accessengineeringlibrary.com/content/calculator/S0036_Reinforced_Concrete_Beam_Deflection</t>
  </si>
  <si>
    <t>Reinforced Concrete Columns</t>
  </si>
  <si>
    <t>Reinforced concrete columns | Rectangular columns | Axial load | Interaction diagrams | Column design | Design load | Bending moment</t>
  </si>
  <si>
    <t>https://www.accessengineeringlibrary.com/content/calculator/S0037_Reinforced_Concrete_Columns</t>
  </si>
  <si>
    <t>Mininum Required Pipe Wall Thickness and Maximum Allowable Working Pressure (MAWP)</t>
  </si>
  <si>
    <t>Pipes | Maximum allowable working pressure | Fluid properties | Thermal stresses | Temperature coefficients | Pipe stress</t>
  </si>
  <si>
    <t>https://www.accessengineeringlibrary.com/content/calculator/S0038_Mininum_Required_Pipe_Wall_Thickness_and_Maximum_Allowable_Working_Pressure_MAWP</t>
  </si>
  <si>
    <t>Dissolved Air Flotation Design Calculations</t>
  </si>
  <si>
    <t>Hydraulic loads | Wastewater | Suspended solids | Dissolved air flotation | Sludge treatment</t>
  </si>
  <si>
    <t>https://www.accessengineeringlibrary.com/content/calculator/S0039_Dissolved_Air_Flotation_Design_Calculations</t>
  </si>
  <si>
    <t>Venturi Meter Gas Flow Calculations</t>
  </si>
  <si>
    <t>Venturi meters | Gases | Pipe flow | Pressure drop | Flow rate | Gas pipes</t>
  </si>
  <si>
    <t>https://www.accessengineeringlibrary.com/content/calculator/S0040_Venturi_Meter_Gas_Flow_Calculations</t>
  </si>
  <si>
    <t>UASB Wastewater Treatment Design Calculations</t>
  </si>
  <si>
    <t>Wastewater treatment | Volume | Stoichiometry | Sewage sludge | Methane | Kinetics</t>
  </si>
  <si>
    <t>Environmental engineering | Chemical engineering | Mechanical engineering | Sciences | Energy engineering | Civil engineering</t>
  </si>
  <si>
    <t>https://www.accessengineeringlibrary.com/content/calculator/S0041_UASB_Wastewater_Treatment_Design_Calculations</t>
  </si>
  <si>
    <t>Hydraulic Grade Line and Energy Grade Line Calculations</t>
  </si>
  <si>
    <t>Hydraulics | Hydraulic energy | Pipe flow | Storm sewers | Surface energy | Stormwater</t>
  </si>
  <si>
    <t>Chemical engineering | Civil engineering | Mechanical engineering | Energy engineering | Environmental engineering | Materials engineering | Sciences</t>
  </si>
  <si>
    <t>https://www.accessengineeringlibrary.com/content/calculator/S0042_Hydraulic_Grade_Line_and_Energy_Grade_Line_Calculations</t>
  </si>
  <si>
    <t>Compressible Fanno Flow Through a Pipe</t>
  </si>
  <si>
    <t>Compressible flow | Pipe flow | Gases | Incompressible flow | Gas pressure | Turbulent flow</t>
  </si>
  <si>
    <t>https://www.accessengineeringlibrary.com/content/calculator/S0043_Compressible_Fanno_Flow_Through_a_Pipe</t>
  </si>
  <si>
    <t>Thermodynamic P-V-T Calculations for Gases</t>
  </si>
  <si>
    <t>Gases | Critical temperature | Gas pressure | Fluid density | Volume | Pressure-Volume-Temperature relationship</t>
  </si>
  <si>
    <t>https://www.accessengineeringlibrary.com/content/calculator/S0044_Thermodynamic_P-V-T_Calculations_for_Gases</t>
  </si>
  <si>
    <t>MBR Process Design Calculations</t>
  </si>
  <si>
    <t>Aeration tanks | Wastewater treatment | Wastewater | Mixed liquor suspended solids | Aeration systems | Membrane bioreactors | Process design | Solids residence time</t>
  </si>
  <si>
    <t>Environmental engineering | Bioengineering | Chemical engineering | Industrial engineering</t>
  </si>
  <si>
    <t>https://www.accessengineeringlibrary.com/content/calculator/S0045_MBR_Process_Design_Calculations</t>
  </si>
  <si>
    <t>Hazen-Williams Pipe Flow Calculations</t>
  </si>
  <si>
    <t>Pipe flow | Pressure drop | Flow rate | Static pressure | Piping systems</t>
  </si>
  <si>
    <t>https://www.accessengineeringlibrary.com/content/calculator/S0046_Hazen-Williams_Pipe_Flow_Calculations</t>
  </si>
  <si>
    <t>Circular Culvert Design Calculations</t>
  </si>
  <si>
    <t>Culverts</t>
  </si>
  <si>
    <t>https://www.accessengineeringlibrary.com/content/calculator/S0047_Circular_Culvert_Design_Calculations</t>
  </si>
  <si>
    <t>Partially Full Pipe Flow Calculations-Viscous Liquids</t>
  </si>
  <si>
    <t>Pipe flow | Viscous fluids | Viscous flow | Well water | Water viscosity | Flow rate</t>
  </si>
  <si>
    <t>https://www.accessengineeringlibrary.com/content/calculator/S0048_Partially_Full_Pipe_Flow_Calculations_Viscous_Liquids</t>
  </si>
  <si>
    <t>Sutro Weir Design and Flow Calculations</t>
  </si>
  <si>
    <t>Sutro weirs | Weirs | Flow rate | Discharge coefficient</t>
  </si>
  <si>
    <t>https://www.accessengineeringlibrary.com/content/calculator/S0049_Sutro_Weir_Design_and_Flow_Calculations</t>
  </si>
  <si>
    <t>Control System Analysis</t>
  </si>
  <si>
    <t>Nourdine Aliane, Ph.D.</t>
  </si>
  <si>
    <t>Systems analysis | System stability | Step response | Steady state error | Frequency stability | Control systems</t>
  </si>
  <si>
    <t>Industrial engineering | Electrical engineering | Mechanical engineering | Civil engineering | Mathematics | Energy engineering</t>
  </si>
  <si>
    <t>https://www.accessengineeringlibrary.com/content/calculator/S0050_Control_System_Analysis</t>
  </si>
  <si>
    <t>Control System Design</t>
  </si>
  <si>
    <t>Control system design | PID controllers | Root locus method | Observer | Frequency response | Frequency control</t>
  </si>
  <si>
    <t>Electrical engineering | Mechanical engineering | Chemical engineering | Energy engineering</t>
  </si>
  <si>
    <t>https://www.accessengineeringlibrary.com/content/calculator/S0051_Control_System_Design</t>
  </si>
  <si>
    <t>Broad-Crested Weir Calculations</t>
  </si>
  <si>
    <t>Broad crested weirs | Weirs | Flow rate</t>
  </si>
  <si>
    <t>https://www.accessengineeringlibrary.com/content/calculator/S0052_Broad_Crested_Weir_Calculations</t>
  </si>
  <si>
    <t>Solubility of Gases in Water</t>
  </si>
  <si>
    <t>Gases | Solubility | Molecular weights | Henrys law | Partial pressure</t>
  </si>
  <si>
    <t>Sciences | Aerospace engineering | Chemical engineering | Civil engineering | Mechanical engineering</t>
  </si>
  <si>
    <t>https://www.accessengineeringlibrary.com/content/calculator/S0053_Solubility_of_Gases_in_Water</t>
  </si>
  <si>
    <t>Flow Rate through Parshall Flume</t>
  </si>
  <si>
    <t>Flow rate | Parshall flume | Flow rate measurement</t>
  </si>
  <si>
    <t>https://www.accessengineeringlibrary.com/content/calculator/S0054_Flow_Rate_through_Parshall_Flume</t>
  </si>
  <si>
    <t>Dissolved Oxygen Solubility Calculator</t>
  </si>
  <si>
    <t>Dissolved oxygen solubility | Atmospheric pressure</t>
  </si>
  <si>
    <t>https://www.accessengineeringlibrary.com/content/calculator/S0055_Dissolved_Oxygen_Solubility_Calculator</t>
  </si>
  <si>
    <t>D.O. Sag Equation Calculations</t>
  </si>
  <si>
    <t>Dissolved oxygen sag</t>
  </si>
  <si>
    <t>https://www.accessengineeringlibrary.com/content/calculator/S0056_D_O_Sag_Equation_Calculations</t>
  </si>
  <si>
    <t>Lamella (Inclined Plate) Clarifier</t>
  </si>
  <si>
    <t>Inclined plate settling | Hydraulic residence time | Weirs | Wastewater | Reynolds number | Fluid density</t>
  </si>
  <si>
    <t>Environmental engineering | Civil engineering | Chemical engineering | Mechanical engineering | Sciences</t>
  </si>
  <si>
    <t>https://www.accessengineeringlibrary.com/content/calculator/S0057_Lamella_Inclined_Plate_Clarifier</t>
  </si>
  <si>
    <t>Rain Loads: 2018 IBC and ASCE/SEI 7-16</t>
  </si>
  <si>
    <t>David Fanella</t>
  </si>
  <si>
    <t>Rain loads | International building code | Roofing</t>
  </si>
  <si>
    <t>https://www.accessengineeringlibrary.com/content/calculator/S0058_Rain_Loads</t>
  </si>
  <si>
    <t>Oxidation Ditch Wastewater Treatment Calculations</t>
  </si>
  <si>
    <t>Oxidation ditches | Wastewater treatment | Volume | Volatile solids | Settling detention time | Mixed liquor suspended solids</t>
  </si>
  <si>
    <t>https://www.accessengineeringlibrary.com/content/calculator/S0059_Oxidation_Ditch_Wastewater_Treatment_Calculations</t>
  </si>
  <si>
    <t>Ice Loads: 2018 IBC and ASCE/SEI 7-16</t>
  </si>
  <si>
    <t>David A. Fanella, Ph.D., S.E., P.E.</t>
  </si>
  <si>
    <t>Ice loads | IBC codes for gravity loads</t>
  </si>
  <si>
    <t>https://www.accessengineeringlibrary.com/content/calculator/S0060_Ice_Loads</t>
  </si>
  <si>
    <t>Tsunami Loads: 2018 IBC and ASCE/SEI 7-16</t>
  </si>
  <si>
    <t>Tsunami loads | International building code | Wood | Hydrodynamics | Flow velocity</t>
  </si>
  <si>
    <t>https://www.accessengineeringlibrary.com/content/calculator/S0061_Tsunami_Loads</t>
  </si>
  <si>
    <t>Snow Loads: 2018 IBC and ASCE/SEI 7-16</t>
  </si>
  <si>
    <t>Snow load | IBC codes for gravity loads | Walls | Roofing</t>
  </si>
  <si>
    <t>https://www.accessengineeringlibrary.com/content/calculator/S0062_Snow_Loads</t>
  </si>
  <si>
    <t>Flood Loads: 2018 IBC and ASCE/SEI 7-16</t>
  </si>
  <si>
    <t>Flood loads | International building code | Walls | Foundation walls</t>
  </si>
  <si>
    <t>https://www.accessengineeringlibrary.com/content/calculator/S0063_Flood_Loads</t>
  </si>
  <si>
    <t>Wind Loads: 2018 IBC and ASCE/SEI 7-16</t>
  </si>
  <si>
    <t>Wind load | IBC codes for wind loads | Roof pitch | Frame structures | Walls | Solar panels</t>
  </si>
  <si>
    <t>Civil engineering | Mechanical engineering | Electrical engineering | Energy engineering | Environmental engineering</t>
  </si>
  <si>
    <t>https://www.accessengineeringlibrary.com/content/calculator/S0064_Wind_Loads</t>
  </si>
  <si>
    <t>Horizontal Flow Grit Chamber Design</t>
  </si>
  <si>
    <t>Harlan Bengtson</t>
  </si>
  <si>
    <t>Horizontal flow grit chambers | Wastewater storage | Sutro weirs | Flow rate</t>
  </si>
  <si>
    <t>Environmental engineering | Civil engineering | Chemical engineering | Mechanical engineering</t>
  </si>
  <si>
    <t>https://www.accessengineeringlibrary.com/content/calculator/S0065_Horizontal_Flow_Grit_Chamber_Design</t>
  </si>
  <si>
    <t>Seismic Loads: 2018 IBC and ASCE/SEI 7-16</t>
  </si>
  <si>
    <t>Seismic loads | International building code | Seismic design</t>
  </si>
  <si>
    <t>https://www.accessengineeringlibrary.com/content/calculator/S0066_Seismic_Loads</t>
  </si>
  <si>
    <t>Wastewater Screening Calculations</t>
  </si>
  <si>
    <t>Screening | Wastewater | Flow rate measurement | Bar screens | Fine screens | Perforation</t>
  </si>
  <si>
    <t>Environmental engineering | Chemical engineering | Civil engineering | Mechanical engineering | Industrial engineering | Materials engineering</t>
  </si>
  <si>
    <t>https://www.accessengineeringlibrary.com/content/calculator/S0067_Wastewater_Screening_Calculations</t>
  </si>
  <si>
    <t>Pressure Drop for Flow through a Packed Bed</t>
  </si>
  <si>
    <t>Pressure drop | Flow rate | Viscous fluids | Viscous flow | Fluid properties | Packed bed reactors</t>
  </si>
  <si>
    <t>https://www.accessengineeringlibrary.com/content/calculator/S0068_Pressure_Drop_for_Flow_through_a_Packed_Bed</t>
  </si>
  <si>
    <t>Metal Hydroxide Precipitation from Wastewater</t>
  </si>
  <si>
    <t>Wastewater | pH | Solubility | Metals | Metal waste | Wastewater treatment</t>
  </si>
  <si>
    <t>Environmental engineering | Materials engineering | Sciences</t>
  </si>
  <si>
    <t>https://www.accessengineeringlibrary.com/content/calculator/S0069_Metal_Hydroxide_Precipitation_from_Wastewater</t>
  </si>
  <si>
    <t>Pressure Vessel Wall Thickness Calculations (ASME Sec. VIII, Div. 1) Based on External Pressure</t>
  </si>
  <si>
    <t>Robert Stricker</t>
  </si>
  <si>
    <t>Pressure vessels</t>
  </si>
  <si>
    <t>https://www.accessengineeringlibrary.com/content/calculator/S0070_Pressure_Vessel_Wall_Thickness_Calculations_ASME_Sec_VIII_Div_1_Based_on_External_Pressure</t>
  </si>
  <si>
    <t>Basic Transformer Calculations</t>
  </si>
  <si>
    <t>Bhagyalakshmi Kerekare</t>
  </si>
  <si>
    <t>Primary voltage | Voltage transformers | Line voltage | Current transformers | Transformers | Three phase power</t>
  </si>
  <si>
    <t>https://www.accessengineeringlibrary.com/content/calculator/S0071_Basic_Transformer_Calculations</t>
  </si>
  <si>
    <t>Pressure Vessel Wall Thickness Calculations (ASME Sec. VIII, Div. 1) Based on Internal Pressure</t>
  </si>
  <si>
    <t>https://www.accessengineeringlibrary.com/content/calculator/S0072_Pressure_Vessel_Wall_Thickness_Calculations_ASME_Sec_VIII_Div_1_Based_on_Internal_Pressure</t>
  </si>
  <si>
    <t>Basic Amplifier Calculations</t>
  </si>
  <si>
    <t>Amplifiers | Voltage output | Power gain | Voltage | Signal amplification | Operational amplifiers</t>
  </si>
  <si>
    <t>https://www.accessengineeringlibrary.com/content/calculator/S0073_Basic_Amplifier_Calculations</t>
  </si>
  <si>
    <t>Stormwater Inlet Capacity Calculations</t>
  </si>
  <si>
    <t>Stormwater | Stormwater detention | Infiltration basins</t>
  </si>
  <si>
    <t>https://www.accessengineeringlibrary.com/content/calculator/S0074_Stormwater_Inlet_Capacity_Calculations</t>
  </si>
  <si>
    <t>Stormwater Infiltration Basin Design Calculations</t>
  </si>
  <si>
    <t>Design storm | Infiltration basins | Rational method</t>
  </si>
  <si>
    <t>Civil engineering | Sciences | Energy engineering | Environmental engineering</t>
  </si>
  <si>
    <t>https://www.accessengineeringlibrary.com/content/calculator/S0075_Stormwater_Infiltration_Basin_Design_Calculations</t>
  </si>
  <si>
    <t>Pressure Vessel Nozzle Reinforcement Calculations (ASME Sec. VIII, Div. 1)</t>
  </si>
  <si>
    <t>https://www.accessengineeringlibrary.com/content/calculator/S0076_Pressure_Vessel_Nozzle_Reinforcement_Calculations</t>
  </si>
  <si>
    <t>Design Storm Hyetograph Generation</t>
  </si>
  <si>
    <t>Hyetographs | Design storm | Intensity-duration-frequency</t>
  </si>
  <si>
    <t>https://www.accessengineeringlibrary.com/content/calculator/S0077_Design_Storm_Hyetograph_Generation</t>
  </si>
  <si>
    <t>Flow Equalization Tank Volume</t>
  </si>
  <si>
    <t>Wastewater | Flow equalization</t>
  </si>
  <si>
    <t>https://www.accessengineeringlibrary.com/content/calculator/S0078_Flow_Equalization_Tank_Volume</t>
  </si>
  <si>
    <t>Granulated Activated Carbon Capacity and Lifetime</t>
  </si>
  <si>
    <t>Activated carbon | Granular activated carbon | Organic chemicals | Freundlich isotherm</t>
  </si>
  <si>
    <t>Sciences | Environmental engineering | Chemical engineering</t>
  </si>
  <si>
    <t>https://www.accessengineeringlibrary.com/content/calculator/S0079_Granulated_Activated_Carbon_Capacity_and_Lifetime</t>
  </si>
  <si>
    <t>Rain Loads: 2024 IBC and ASCE/SEI 7-22</t>
  </si>
  <si>
    <t>https://www.accessengineeringlibrary.com/content/calculator/S0080_Rain_Loads_2024_IBC_and_ASCE-SEI_7-22</t>
  </si>
  <si>
    <t>Ice Loads: 2024 IBC and ASCE/SEI 7-22</t>
  </si>
  <si>
    <t>https://www.accessengineeringlibrary.com/content/calculator/S0081_Ice_Loads_2024_IBC_and_ASCE-SEI_7-22</t>
  </si>
  <si>
    <t>Snow Loads: 2024 IBC and ASCE/SEI 7-22</t>
  </si>
  <si>
    <t>Snow load | IBC codes for gravity loads | Walls</t>
  </si>
  <si>
    <t>https://www.accessengineeringlibrary.com/content/calculator/S0082_Snow_Loads_2024_IBC_and_ASCE-SEI_7-22</t>
  </si>
  <si>
    <t>Tsunami Loads: 2024 IBC and ASCE/SEI 7-22</t>
  </si>
  <si>
    <t>https://www.accessengineeringlibrary.com/content/calculator/S0083_Tsunami_Loads_2024_IBC_and_ASCE-SEI_7-22</t>
  </si>
  <si>
    <t>Flood Loads: 2024 IBC and ASCE/SEI 7-22</t>
  </si>
  <si>
    <t>https://www.accessengineeringlibrary.com/content/calculator/S0084_Flood_Loads_2024_IBC_and_ASCE-SEI_7-22</t>
  </si>
  <si>
    <t>Wind Loads: 2024 IBC and ASCE/SEI 7-22</t>
  </si>
  <si>
    <t>https://www.accessengineeringlibrary.com/content/calculator/S0085_Wind_Loads_2024_IBC_and_ASCE-SEI_7-22</t>
  </si>
  <si>
    <t>Seismic Loads: 2024 IBC and ASCE/SEI 7-22</t>
  </si>
  <si>
    <t>https://www.accessengineeringlibrary.com/content/calculator/S0086_Seismic_Loads_2024_IBC_and_ASCE-SEI_7-22</t>
  </si>
  <si>
    <t>Flat Plate Solar Thermal Collector Performance Calculator</t>
  </si>
  <si>
    <t>Thomas Cooper</t>
  </si>
  <si>
    <t>Flat plate solar collectors | Radiation | Thermodynamic efficiency | Thermal systems | Temperature | Solar thermal power</t>
  </si>
  <si>
    <t>Electrical engineering | Energy engineering | Mechanical engineering | Environmental engineering | Sciences | Chemical engineering</t>
  </si>
  <si>
    <t>https://www.accessengineeringlibrary.com/content/calculator/S0087_Flat_Plate_Solar_Thermal_Collector_Performance_Calculator</t>
  </si>
  <si>
    <t>Energy Production from a Wind Farm</t>
  </si>
  <si>
    <t>Horizontal axis wind turbines | Wind speed | Wind energy | Wind turbines | Wind farms | Wind analysis</t>
  </si>
  <si>
    <t>Chemical engineering | Civil engineering | Mechanical engineering | Electrical engineering | Energy engineering | Environmental engineering | Sciences</t>
  </si>
  <si>
    <t>https://www.accessengineeringlibrary.com/content/calculator/S0088_Energy_Production_from_a_Wind_Farm</t>
  </si>
  <si>
    <t>Photovoltaic Equivalent Circuit Model and System Performance</t>
  </si>
  <si>
    <t>Circuits | Diodes | Photovoltaics | Solar energy conversion</t>
  </si>
  <si>
    <t>Electrical engineering | Energy engineering | Mechanical engineering | Environmental engineering</t>
  </si>
  <si>
    <t>https://www.accessengineeringlibrary.com/content/calculator/S0089_Photovoltaic_Equivalent_Circuit_Model_and_System_Performance</t>
  </si>
  <si>
    <t>Levelized Cost of Energy (LCOE) Calculator</t>
  </si>
  <si>
    <t>Construction costs | Power plants | Depreciation | Capacity factor | Levelized costs | Energy conversion systems</t>
  </si>
  <si>
    <t>Business skills | Engineering management | Civil engineering | Electrical engineering | Energy engineering | Mechanical engineering | Chemical engineering</t>
  </si>
  <si>
    <t>https://www.accessengineeringlibrary.com/content/calculator/S0090_Levelized_Cost_of_Energy_LCOE_Calculator</t>
  </si>
  <si>
    <t>Tutorials</t>
  </si>
  <si>
    <t>Open Channel Flow Calculations with the Manning Equation using Excel Spreadsheets</t>
  </si>
  <si>
    <t>Harlan H. Bengtson, PE, PhD</t>
  </si>
  <si>
    <t>Open channel flow | Turbulent flow | Laminar flow | Hydraulic diameter | Pipe flow | Flow velocity</t>
  </si>
  <si>
    <t>https://www.accessengineeringlibrary.com/content/tutorial/T0002_Open_Channel_Flow_Calculations_with_the_Manning_Equation</t>
  </si>
  <si>
    <t>Pipe Flow/Friction Factor Calculations using Excel Spreadsheets</t>
  </si>
  <si>
    <t>Pipe flow | Turbulent flow | Pipes | Pressure drop | Laminar flow | Moody friction factor</t>
  </si>
  <si>
    <t>https://www.accessengineeringlibrary.com/content/tutorial/T0003_Pipe_Flow_Friction_Factor_Calculations_with_Excel_Spreadsheets</t>
  </si>
  <si>
    <t>Partially Full Pipe Flow Calculations Using Excel Spreadsheets</t>
  </si>
  <si>
    <t>Pipe flow | Flow rate | Roughness coefficient | Open channel flow | Hydraulic diameter | Pipes</t>
  </si>
  <si>
    <t>https://www.accessengineeringlibrary.com/content/tutorial/T0004_Partially_Full_Pipe_Flow_Calculations_Using_Excel_Spreadsheets</t>
  </si>
  <si>
    <t>Case Studies</t>
  </si>
  <si>
    <t>Rotator Cuff Repair: Bridging the Gap Through Engineering Innovation</t>
  </si>
  <si>
    <t>Katherine E. Reuther</t>
  </si>
  <si>
    <t>Innovation | Muscles | Bone | Orthopedics | Tendons | Medical devices</t>
  </si>
  <si>
    <t>Business skills | Engineering management | Bioengineering | Sciences | Materials engineering</t>
  </si>
  <si>
    <t>https://www.accessengineeringlibrary.com/content/case-study/CS0001_Rotator_Cuff</t>
  </si>
  <si>
    <t>Continuous Blood Pressure Monitoring: Addressing Unmet Clinical Needs</t>
  </si>
  <si>
    <t>Christine King</t>
  </si>
  <si>
    <t>Blood pressure monitors | Blood pressure | Hypertension | Cardiovascular disease | Blood | Arteries</t>
  </si>
  <si>
    <t>Bioengineering | Electrical engineering | Sciences</t>
  </si>
  <si>
    <t>https://www.accessengineeringlibrary.com/content/case-study/CS0002_Continuous_Blood_Pressure_Monitoring</t>
  </si>
  <si>
    <t>Development and Manufacture of a Cell Culture Process for a Phase 1 Biopharmaceutical Product</t>
  </si>
  <si>
    <t>Lori Herz</t>
  </si>
  <si>
    <t>Biopharmaceuticals | Cell processes | Product development | Clinical trials | Pharmaceutical manufacturing | Good Manufacturing Practice regulations</t>
  </si>
  <si>
    <t>Bioengineering | Sciences | Business skills | Engineering management | Chemical engineering</t>
  </si>
  <si>
    <t>https://www.accessengineeringlibrary.com/content/case-study/CS0003_Herz_Case_Study_Cell_Culture_text_figures</t>
  </si>
  <si>
    <t>Atrial Fibrillation: Improving Therapy via Engineering Advancements</t>
  </si>
  <si>
    <t>Michael Rust</t>
  </si>
  <si>
    <t>Atrial fibrillation | Heart | Electricity | Blood | Electrocardiography | Strokes</t>
  </si>
  <si>
    <t>Bioengineering | Sciences | Electrical engineering</t>
  </si>
  <si>
    <t>https://www.accessengineeringlibrary.com/content/case-study/CS0004_Atrial_Fibrillation</t>
  </si>
  <si>
    <t>Biotransport of Cannabis and Engineering a Solution for a Point-of-Use Detection Device</t>
  </si>
  <si>
    <t>Michael J. Wernke, R.Ph., Ph.D.</t>
  </si>
  <si>
    <t>Biotransport | Nanoparticles | Central nervous system | Blood plasma | Chemical processes | Biomedical engineering</t>
  </si>
  <si>
    <t>Bioengineering | Materials engineering | Sciences | Chemical engineering</t>
  </si>
  <si>
    <t>https://www.accessengineeringlibrary.com/content/case-study/CS0005_Case_Study_Biotransport_of_Cannabis</t>
  </si>
  <si>
    <t>Heterotopic Ossification: Exploring Tissue Engineering as an Innovative Solution</t>
  </si>
  <si>
    <t>Kristen S. Labazzo, Ph.D.</t>
  </si>
  <si>
    <t>Tissue engineering | Bone | Prosthetics | Tissue scaffold | Biomaterials | Metallic biomaterials</t>
  </si>
  <si>
    <t>https://www.accessengineeringlibrary.com/content/case-study/CS0006_Heterotopic_Ossification</t>
  </si>
  <si>
    <t>Modeling the 2020 Novel Coronavirus Pandemic</t>
  </si>
  <si>
    <t>Lori Herz,</t>
  </si>
  <si>
    <t>Epidemiology | Infectious diseases | Mathematical modeling | Goodness-of-fit tests | Epidemics | Differential equations</t>
  </si>
  <si>
    <t>Bioengineering | Sciences | Mathematics | Computer science</t>
  </si>
  <si>
    <t>https://www.accessengineeringlibrary.com/content/case-study/CS0007_Modeling_the_2020_Novel_Coronavirus_Pandemic</t>
  </si>
  <si>
    <t>Sports and Recreation Related Concussion</t>
  </si>
  <si>
    <t>Vikki Hazelwood</t>
  </si>
  <si>
    <t>Medical imaging | Magnetic resonance imaging | Knowledge engineering | Brain | Biomedical engineering</t>
  </si>
  <si>
    <t>Bioengineering | Electrical engineering | Computer science | Sciences</t>
  </si>
  <si>
    <t>https://www.accessengineeringlibrary.com/content/case-study/CS0008_Sports_and_Recreation_Related_Concussion</t>
  </si>
  <si>
    <t>Remediation of per- and polyflouroalkyl substances (PFAS) in soil and water</t>
  </si>
  <si>
    <t>Heidi Sieverding</t>
  </si>
  <si>
    <t>Soils | Water pollution | Airports | Contamination | Water wells | Groundwater remediation | Soil remediation | Environmental impact assessment</t>
  </si>
  <si>
    <t>Civil engineering | Sciences | Environmental engineering | Industrial engineering</t>
  </si>
  <si>
    <t>https://www.accessengineeringlibrary.com/content/case-study/CS0009_Remediation_of_polyflouroalkyl_substances_PFAS_in_soil_and_water</t>
  </si>
  <si>
    <t>Characterization of surface water for potable treatment</t>
  </si>
  <si>
    <t>Henry Mott</t>
  </si>
  <si>
    <t>Surface water | Water treatment | Water pollution | Potable water | Watershed areas</t>
  </si>
  <si>
    <t>https://www.accessengineeringlibrary.com/content/case-study/CS0010_Characterization_of_surface_water_for_potable_treatment</t>
  </si>
  <si>
    <t>Out of Pace: Exploring Long-Term Issues with an Innovative Pacemaker</t>
  </si>
  <si>
    <t>Conrad Zapanta</t>
  </si>
  <si>
    <t>Pacemakers | Innovation | Heart | Safety testing | Materials analysis | Engineering ethics</t>
  </si>
  <si>
    <t>Bioengineering | Electrical engineering | Business skills | Engineering management | Sciences | Industrial engineering | Materials engineering</t>
  </si>
  <si>
    <t>https://www.accessengineeringlibrary.com/content/case-study/CS0011_Out_of_Pace_Exploring_Long-Term_Issues_of_an_Innovative_Pace</t>
  </si>
  <si>
    <t>Design of a Resorbable Ureteral Stent</t>
  </si>
  <si>
    <t>Jay Goldberg</t>
  </si>
  <si>
    <t>Urinary system | Bladder | Kidneys | Polymer biomaterials | Biomedical device regulatory strategy | Medical device design</t>
  </si>
  <si>
    <t>https://www.accessengineeringlibrary.com/content/case-study/CS0012_Design_of_a_Resorbable_Ureteral_Stent</t>
  </si>
  <si>
    <t>Conceptual, preliminary design for treatment of raw surface water for municipal distribution</t>
  </si>
  <si>
    <t>Surface water | Water pollution | Watershed areas | Water treatment | Potable water</t>
  </si>
  <si>
    <t>https://www.accessengineeringlibrary.com/content/case-study/CS0013_Integrated_Surface_Water_Treatment</t>
  </si>
  <si>
    <t>DataVis Projects</t>
  </si>
  <si>
    <t>Intro to MSE - Comparing Material Classes</t>
  </si>
  <si>
    <t>Kathleen Kitto</t>
  </si>
  <si>
    <t>Materials engineering | Data visualization</t>
  </si>
  <si>
    <t>Materials engineering | Computer science</t>
  </si>
  <si>
    <t>https://www.accessengineeringlibrary.com/content/datavis-project/DV0001_Intro_to_MSE_Comparing_Material_Classes</t>
  </si>
  <si>
    <t>Intro to MSE - Cost</t>
  </si>
  <si>
    <t>Materials engineering | Production costs | Mass | Cost engineering | Steel | Production engineering</t>
  </si>
  <si>
    <t>Materials engineering | Business skills | Engineering management | Chemical engineering | Sciences | Civil engineering | Industrial engineering</t>
  </si>
  <si>
    <t>https://www.accessengineeringlibrary.com/content/datavis-project/DV0002_Intro_to_MSE_Cost</t>
  </si>
  <si>
    <t>Intro to MSE - Composites</t>
  </si>
  <si>
    <t>Composites | Yield strength | Synthetic composites | Metals | Hardness | Elastic modulus</t>
  </si>
  <si>
    <t>https://www.accessengineeringlibrary.com/content/datavis-project/DV0003_Intro_to_MSE_Composites</t>
  </si>
  <si>
    <t>Intro to MSE - Physical Properties</t>
  </si>
  <si>
    <t>Physical properties | Elastic modulus | Specific gravity | Density | Composites | Shear strain</t>
  </si>
  <si>
    <t>https://www.accessengineeringlibrary.com/content/datavis-project/DV0004_Intro_to_MSE_Physical_Properties</t>
  </si>
  <si>
    <t>Intro to MSE - Mechanical Properties</t>
  </si>
  <si>
    <t>Mechanical properties | Materials engineering | Yield strength | Smart materials | Hardness | Fracture toughness</t>
  </si>
  <si>
    <t>https://www.accessengineeringlibrary.com/content/datavis-project/DV0005_Intro_to_MSE_Mechanical_Properties</t>
  </si>
  <si>
    <t>Intro to MSE - Electrical and Magnetic Properties</t>
  </si>
  <si>
    <t>Magnetic properties | Electrical properties | Dielectric ceramics | Permeability | Loss tangent | Conductivity</t>
  </si>
  <si>
    <t>Materials engineering | Sciences</t>
  </si>
  <si>
    <t>https://www.accessengineeringlibrary.com/content/datavis-project/DV0006_Intro_to_MSE_Electrical_and_Magnetic_Properties</t>
  </si>
  <si>
    <t>Intro to MSE - Metals</t>
  </si>
  <si>
    <t>Metals | Steel | Density | Axial load | Materials engineering | Yield strength</t>
  </si>
  <si>
    <t>https://www.accessengineeringlibrary.com/content/datavis-project/DV0007_Intro_to_MSE_Metals</t>
  </si>
  <si>
    <t>Intro to MSE - Thermal and Optical Properties</t>
  </si>
  <si>
    <t>Optical properties | Specific heat capacity | Thermal properties | Thermal diffusivity | Thermal conductivity | Reflectance</t>
  </si>
  <si>
    <t>Electrical engineering | Materials engineering | Chemical engineering | Mechanical engineering | Sciences</t>
  </si>
  <si>
    <t>https://www.accessengineeringlibrary.com/content/datavis-project/DV0008_Intro_to_MSE_Thermal_and_Optical_Properties</t>
  </si>
  <si>
    <t>Intro to MSE - Ceramics</t>
  </si>
  <si>
    <t>Ceramics | Mechanical properties | Yield strength | Elastic modulus | Materials engineering | Specific gravity</t>
  </si>
  <si>
    <t>https://www.accessengineeringlibrary.com/content/datavis-project/DV0009_Intro_to_MSE_Ceramics</t>
  </si>
  <si>
    <t>Intro to MSE - Polymers</t>
  </si>
  <si>
    <t>Polymers | Polymer engineering | Tensile strength | Elastic modulus | Materials engineering | Thermoset polymers</t>
  </si>
  <si>
    <t>Chemical engineering | Materials engineering | Sciences</t>
  </si>
  <si>
    <t>https://www.accessengineeringlibrary.com/content/datavis-project/DV0010_Intro_to_MSE_Polymers</t>
  </si>
  <si>
    <t>Exploring Basic Material Properties</t>
  </si>
  <si>
    <t>Material properties | Composites | Yield strength | Specific gravity | Elastic modulus | Density</t>
  </si>
  <si>
    <t>https://www.accessengineeringlibrary.com/content/datavis-project/DV0011_Exploring_Basic_Material_Properties</t>
  </si>
  <si>
    <t>Influence of Material Properties</t>
  </si>
  <si>
    <t>Material properties | Yield strength | Tensile strength | Production costs | Metals | Materials engineering | Elastic modulus | Density</t>
  </si>
  <si>
    <t>Materials engineering | Business skills | Engineering management | Chemical engineering</t>
  </si>
  <si>
    <t>https://www.accessengineeringlibrary.com/content/datavis-project/DV0012_Influence_of_Material_Properties</t>
  </si>
  <si>
    <t>Properties for Aerospace Structures</t>
  </si>
  <si>
    <t>Aerospace engineering | Yield strength | Tensile strength | Specific gravity | Spacecraft | Materials applications</t>
  </si>
  <si>
    <t>Aerospace engineering | Materials engineering</t>
  </si>
  <si>
    <t>https://www.accessengineeringlibrary.com/content/datavis-project/DV0013_Properties_for_Aerospace_Structures</t>
  </si>
  <si>
    <t>Analysis, Stress and Deflection of Beams</t>
  </si>
  <si>
    <t>Mustafa Mahamid</t>
  </si>
  <si>
    <t>Stress analysis | Deflection | Shear stress | Bending stress | Yield strength | Wood</t>
  </si>
  <si>
    <t>https://www.accessengineeringlibrary.com/content/datavis-project/DV0014_Analysis_Stress_and_Deflection_of_Beams</t>
  </si>
  <si>
    <t>Torsion of a Compound Shaft</t>
  </si>
  <si>
    <t>Torsion | Shafts | Structural steel | Shear modulus | Aluminum alloys | Brass</t>
  </si>
  <si>
    <t>https://www.accessengineeringlibrary.com/content/datavis-project/DV0015_Torsion_of_a_Compound_Shaft</t>
  </si>
  <si>
    <t>Linking the Processing and Properties of a Material</t>
  </si>
  <si>
    <t>Susan P. Gentry</t>
  </si>
  <si>
    <t>Material properties | Materials processing | Materials engineering | Yield strength | Thermal properties | Structural steel</t>
  </si>
  <si>
    <t>https://www.accessengineeringlibrary.com/content/datavis-project/DV0016_Linking_the_Processing_and_Properties_of_a_Material</t>
  </si>
  <si>
    <t>Materials: More than a Name</t>
  </si>
  <si>
    <t>Alumina | Tensile strength | Materials engineering | Elastic modulus | Compression yield strength | Project design</t>
  </si>
  <si>
    <t>Chemical engineering | Sciences | Materials engineering | Engineering management</t>
  </si>
  <si>
    <t>https://www.accessengineeringlibrary.com/content/datavis-project/DV0017_Materials_More_than_a_Name</t>
  </si>
  <si>
    <t>3D Printing Filament</t>
  </si>
  <si>
    <t>Mark Atwater</t>
  </si>
  <si>
    <t>3d printing | Thermal expansion coefficient | Melting temperature | Glass transition temperature | Specific heat capacity | Mechanical properties</t>
  </si>
  <si>
    <t>Makerspace | Materials engineering</t>
  </si>
  <si>
    <t>https://www.accessengineeringlibrary.com/content/datavis-project/DV0018_3D_Printing_Filament</t>
  </si>
  <si>
    <t>Arc Welding Metals</t>
  </si>
  <si>
    <t>Welding | Metals | Thermal expansion coefficient | Thermal diffusivity | Electrodes | Thermal conductivity</t>
  </si>
  <si>
    <t>Industrial engineering | Materials engineering | Chemical engineering | Mechanical engineering | Sciences | Electrical engineering</t>
  </si>
  <si>
    <t>https://www.accessengineeringlibrary.com/content/datavis-project/DV0019_Arc_Welding_Metals</t>
  </si>
  <si>
    <t>Conditioning Plain Carbon Steel</t>
  </si>
  <si>
    <t>Plain carbon steel | Yield strength | Tensile strength | Quenching | Physical properties | Melting temperature</t>
  </si>
  <si>
    <t>https://www.accessengineeringlibrary.com/content/datavis-project/DV0020_Conditioning_Plain_Carbon_Steel</t>
  </si>
  <si>
    <t>Considerations in Forming Operations</t>
  </si>
  <si>
    <t>Manufacturing | Yield strength | Vacuum forming | Plastic deformation | Forging | Extrusion</t>
  </si>
  <si>
    <t>Industrial engineering | Materials engineering | Chemical engineering</t>
  </si>
  <si>
    <t>https://www.accessengineeringlibrary.com/content/datavis-project/DV0021_Considerations_in_Forming_Operations</t>
  </si>
  <si>
    <t>Designing a Die Cast Pump Housing</t>
  </si>
  <si>
    <t>Pumps | Die design | Pump design | Tensile strength | Melting point | Manufacturing</t>
  </si>
  <si>
    <t>Chemical engineering | Civil engineering | Mechanical engineering | Industrial engineering | Materials engineering | Sciences</t>
  </si>
  <si>
    <t>https://www.accessengineeringlibrary.com/content/datavis-project/DV0022_Designing_a_Die_Cast_Pump_Housing</t>
  </si>
  <si>
    <t>Fatigue Failure and Service Temperature</t>
  </si>
  <si>
    <t>Fatigue | Fatigue strength | Yield strength | Melting temperature | Manufacturing | Jet engines</t>
  </si>
  <si>
    <t>Materials engineering | Industrial engineering | Aerospace engineering | Electrical engineering | Energy engineering | Mechanical engineering</t>
  </si>
  <si>
    <t>https://www.accessengineeringlibrary.com/content/datavis-project/DV0023_Fatigue_Failure_and_Service_Temperature</t>
  </si>
  <si>
    <t>Impact of Mechanical Properties on Component Design</t>
  </si>
  <si>
    <t>Mechanical properties | Tensile stress | Fracture toughness | Torsion | Shear modulus | Material properties</t>
  </si>
  <si>
    <t>https://www.accessengineeringlibrary.com/content/datavis-project/DV0024_Impact_of_Mechanical_Properties_on_Component_Design</t>
  </si>
  <si>
    <t>Materials for Electric Wiring</t>
  </si>
  <si>
    <t>Wiring | Electricity | Project design | Yield strength | Thermal properties | Thermal expansion coefficient</t>
  </si>
  <si>
    <t>Electrical engineering | Sciences | Engineering management | Materials engineering</t>
  </si>
  <si>
    <t>https://www.accessengineeringlibrary.com/content/datavis-project/DV0025_Materials_for_Electric_Wiring</t>
  </si>
  <si>
    <t>Structural Effects on Deformation</t>
  </si>
  <si>
    <t>Deformation | Yield strength | Material properties | Manufacturing | Hardness | Elongation</t>
  </si>
  <si>
    <t>https://www.accessengineeringlibrary.com/content/datavis-project/DV0026_Structural_Effects_on_Deformation</t>
  </si>
  <si>
    <t>Travel Mug Design</t>
  </si>
  <si>
    <t>Thermal properties | Thermal conductivity | Mechanical properties | Manufacturing | Fracture toughness</t>
  </si>
  <si>
    <t>https://www.accessengineeringlibrary.com/content/datavis-project/DV0027_Travel_Mug_Design</t>
  </si>
  <si>
    <t>https://www.accessengineeringlibrary.com/content/book/9780071498906</t>
  </si>
  <si>
    <t>published_title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</si>
  <si>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</si>
  <si>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</si>
  <si>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</si>
  <si>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</si>
  <si>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</si>
  <si>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</si>
  <si>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</si>
  <si>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</si>
  <si>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</si>
  <si>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</si>
  <si>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</si>
  <si>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</si>
  <si>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</si>
  <si>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</si>
  <si>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</si>
  <si>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</si>
  <si>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</si>
  <si>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</si>
  <si>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</si>
  <si>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</si>
  <si>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</si>
  <si>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</si>
  <si>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</si>
  <si>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</si>
  <si>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Design for Manufacturability Handbook</t>
  </si>
  <si>
    <t>2012-01-01</t>
  </si>
  <si>
    <t>fulltext</t>
  </si>
  <si>
    <t>McGraw-Hill Education</t>
  </si>
  <si>
    <t>Monograph</t>
  </si>
  <si>
    <t>2nd Edition</t>
  </si>
  <si>
    <t>James Bralla G.</t>
  </si>
  <si>
    <t>P</t>
  </si>
  <si>
    <t>Design-Build: Planning Through Development</t>
  </si>
  <si>
    <t>Jeffrey Beard L.</t>
  </si>
  <si>
    <t>1st Edition</t>
  </si>
  <si>
    <t>High Frequency Over-the-Horizon Radar: Fundamental Principles, Signal Processing, and Practical Applications</t>
  </si>
  <si>
    <t>2013-11-18</t>
  </si>
  <si>
    <t>Giuseppe Fabrizio Aureliano Ph.D.</t>
  </si>
  <si>
    <t>Alternative Energy Systems in Building Design</t>
  </si>
  <si>
    <t>Global Program Management</t>
  </si>
  <si>
    <t>Fritzing for Inventors: Take Your Electronics Project from Prototype to Product</t>
  </si>
  <si>
    <t>2015-11-25</t>
  </si>
  <si>
    <t>Simon Monk Dr.</t>
  </si>
  <si>
    <t>Juran's Quality Essentials for Leaders</t>
  </si>
  <si>
    <t>2014-09-30</t>
  </si>
  <si>
    <t>JOSEPH DEFEO A.</t>
  </si>
  <si>
    <t>HVAC Systems Design Handbook</t>
  </si>
  <si>
    <t>2014-06-03</t>
  </si>
  <si>
    <t>Roger Haines W. P.E.</t>
  </si>
  <si>
    <t>5th Edition</t>
  </si>
  <si>
    <t>Green Building Through Integrated Design (GreenSource Books)</t>
  </si>
  <si>
    <t>Wastewater Treatment for Pollution Control and Reuse</t>
  </si>
  <si>
    <t>2014-10-29</t>
  </si>
  <si>
    <t>Soli Arceivala J</t>
  </si>
  <si>
    <t>3rd Edition</t>
  </si>
  <si>
    <t>Bridge and Highway Structure Rehabilitation and Repair</t>
  </si>
  <si>
    <t>Mohiuddin Khan A.</t>
  </si>
  <si>
    <t>Fluid Flow Handbook</t>
  </si>
  <si>
    <t>2015-08-28</t>
  </si>
  <si>
    <t>Jamal Saleh M.</t>
  </si>
  <si>
    <t>2016-07-26</t>
  </si>
  <si>
    <t>CAM Design Handbook</t>
  </si>
  <si>
    <t>Harold Rothbart A.</t>
  </si>
  <si>
    <t>Understanding Flight</t>
  </si>
  <si>
    <t>2021-07-22</t>
  </si>
  <si>
    <t>David Anderson F.</t>
  </si>
  <si>
    <t>Scour Technology: Mechanics and Engineering Practice</t>
  </si>
  <si>
    <t>2022-06-08</t>
  </si>
  <si>
    <t>George Annandale W. D.Ing. P.E. D.WRE</t>
  </si>
  <si>
    <t>Handbook of Analytical Instruments</t>
  </si>
  <si>
    <t>2015-07-22</t>
  </si>
  <si>
    <t>R Khandpur S Dr</t>
  </si>
  <si>
    <t>Machine Tools Handbook: Design and Operation</t>
  </si>
  <si>
    <t>2014-11-28</t>
  </si>
  <si>
    <t>Prakash Joshi Hiralal DME AMIE (India)</t>
  </si>
  <si>
    <t>MATLAB Numerical Methods with Chemical Engineering Applications</t>
  </si>
  <si>
    <t>2014-01-14</t>
  </si>
  <si>
    <t>Kamal Al-Malah I. M. Ph.D.</t>
  </si>
  <si>
    <t>Design for Environment: A Guide to Sustainable Product Development</t>
  </si>
  <si>
    <t>Sensors and Control Systems in Manufacturing</t>
  </si>
  <si>
    <t>Capacitors</t>
  </si>
  <si>
    <t>2015-06-26</t>
  </si>
  <si>
    <t>R. Deshpande P.</t>
  </si>
  <si>
    <t>Engineering Green Chemical Processes: Renewable and Sustainable Design</t>
  </si>
  <si>
    <t>Thomas DeRosa F. Ph.D.</t>
  </si>
  <si>
    <t>Six Sigma Way: How to Maximize the Impact of Your Change and Improvement Efforts</t>
  </si>
  <si>
    <t>2015-10-28</t>
  </si>
  <si>
    <t>Peter Pande S.</t>
  </si>
  <si>
    <t>Photodetection and Measurement: Maximizing Performance in Optical Systems</t>
  </si>
  <si>
    <t>Schaumâ€™s Outline of Advanced Calculus</t>
  </si>
  <si>
    <t>2012-01-02</t>
  </si>
  <si>
    <t>Cable-Suspended Roofs</t>
  </si>
  <si>
    <t>2015-05-29</t>
  </si>
  <si>
    <t>Handbook of Optics: Volume II - Design, Fabrication, and Testing; Sources and Detectors; Radiometry and Photometry</t>
  </si>
  <si>
    <t>2012-12-05</t>
  </si>
  <si>
    <t>HVAC and Refrigeration Preventive Maintenance</t>
  </si>
  <si>
    <t>2015-04-28</t>
  </si>
  <si>
    <t>Electronic Failure Analysis Handbook: Techniques and Applications for Electronic and Electrical Packages, Components, and Assemblies</t>
  </si>
  <si>
    <t>Perry Martin L.</t>
  </si>
  <si>
    <t>Jigs and Fixtures</t>
  </si>
  <si>
    <t>2015-02-28</t>
  </si>
  <si>
    <t>Photonics Essentials</t>
  </si>
  <si>
    <t>Thomas Pearsall P.</t>
  </si>
  <si>
    <t>Flood Scour for Bridges and Highways: Prevention and Control of Soil Erosion</t>
  </si>
  <si>
    <t>Mohiuddin Khan Ali Ph.D. P.E.</t>
  </si>
  <si>
    <t>Plastic Piping Handbook</t>
  </si>
  <si>
    <t>David Willoughby A.</t>
  </si>
  <si>
    <t>Handbook of Machining and Metalworking Calculations</t>
  </si>
  <si>
    <t>Ronald Walsh A.</t>
  </si>
  <si>
    <t>Formulas for Structural Dynamics: Tables, Graphs and Solutions</t>
  </si>
  <si>
    <t>Igor Karnovsky A.</t>
  </si>
  <si>
    <t>Practical Foundation Engineering Handbook</t>
  </si>
  <si>
    <t>Robert Brown Wade</t>
  </si>
  <si>
    <t>Stormwater Collection Systems Design Handbook</t>
  </si>
  <si>
    <t>Larry Mays W.</t>
  </si>
  <si>
    <t>3D IC Integration and Packaging</t>
  </si>
  <si>
    <t>John Lau H. Ph.D.</t>
  </si>
  <si>
    <t>Critical Path Method (CPM) Tutor for Construction Planning and Scheduling</t>
  </si>
  <si>
    <t>E. East William Ph.D. P.E. F.ASCE</t>
  </si>
  <si>
    <t>SBE Broadcast Engineering Handbook: Hands-On Guide to Station Design and Maintenance</t>
  </si>
  <si>
    <t>Jerry Whitaker C.</t>
  </si>
  <si>
    <t>Water Loss Control</t>
  </si>
  <si>
    <t>Sensors Handbook</t>
  </si>
  <si>
    <t>Standard Handbook of Machine Design</t>
  </si>
  <si>
    <t>Joseph Shigley E.</t>
  </si>
  <si>
    <t>Vibration and Acoustics: Measurement and Signal Analysis</t>
  </si>
  <si>
    <t>C. Sujatha Prof.</t>
  </si>
  <si>
    <t>Turbines, Compressors and Fans</t>
  </si>
  <si>
    <t>S. Yahya M. Ph.D.</t>
  </si>
  <si>
    <t>4th Edition</t>
  </si>
  <si>
    <t>Maintenance Engineering Handbook</t>
  </si>
  <si>
    <t>2014-06-12</t>
  </si>
  <si>
    <t>8th Edition</t>
  </si>
  <si>
    <t>R. Mobley Keith MBB CMRP</t>
  </si>
  <si>
    <t>Deanâ€™s Analytical Chemistry Handbook</t>
  </si>
  <si>
    <t>Railway Track Engineering</t>
  </si>
  <si>
    <t>J Mundrey S</t>
  </si>
  <si>
    <t>Negotiating Skills for Managers</t>
  </si>
  <si>
    <t>2015-09-26</t>
  </si>
  <si>
    <t>Steven Cohen P.</t>
  </si>
  <si>
    <t>NANO: The Essentials: Understanding Nanoscience and Nanotechnology</t>
  </si>
  <si>
    <t>2013-04-03</t>
  </si>
  <si>
    <t>Handbook of Solid Waste Management</t>
  </si>
  <si>
    <t>Construction Building Envelope and Interior Finishes Databook</t>
  </si>
  <si>
    <t>Sidney Levy M.</t>
  </si>
  <si>
    <t>Failure Prevention of Plant and Machinery</t>
  </si>
  <si>
    <t>A. Hattangadi A.</t>
  </si>
  <si>
    <t>How to Diagnose and Fix Everything Electronic</t>
  </si>
  <si>
    <t>2016-01-25</t>
  </si>
  <si>
    <t>Michael Geier Jay</t>
  </si>
  <si>
    <t>HVAC Equations, Data, and Rules of Thumb</t>
  </si>
  <si>
    <t>2016-04-28</t>
  </si>
  <si>
    <t>Arthur Bell A. PE Jr.</t>
  </si>
  <si>
    <t>Building Information Modeling: Planning and Managing Construction Projects with 4D CAD and Simulations (McGraw-Hill Construction Series)</t>
  </si>
  <si>
    <t>First edition.</t>
  </si>
  <si>
    <t>Handbook of Complex Environmental Remediation Problems</t>
  </si>
  <si>
    <t>Jay Lehr H.</t>
  </si>
  <si>
    <t>Urban Water Supply Handbook</t>
  </si>
  <si>
    <t>Handbook of Industrial Chemistry: Organic Chemicals</t>
  </si>
  <si>
    <t>2014-03-29</t>
  </si>
  <si>
    <t>Mohammad Ali Farhat Ph.D.</t>
  </si>
  <si>
    <t>Skills for New Managers</t>
  </si>
  <si>
    <t>2013-12-14</t>
  </si>
  <si>
    <t>Data Communications and Networking</t>
  </si>
  <si>
    <t>Behrouz Forouzan A.</t>
  </si>
  <si>
    <t>Design of Transformers</t>
  </si>
  <si>
    <t>Time-Saver Standards for Urban Design</t>
  </si>
  <si>
    <t>Conflict Resolution</t>
  </si>
  <si>
    <t>2014-06-26</t>
  </si>
  <si>
    <t>Environmental Monitoring Handbook</t>
  </si>
  <si>
    <t>Frank Burden R.</t>
  </si>
  <si>
    <t>Pipeline Infrastructure Renewal and Asset Management</t>
  </si>
  <si>
    <t>2016-08-30</t>
  </si>
  <si>
    <t>Land Treatment Systems for Municipal and Industrial Wastes</t>
  </si>
  <si>
    <t>Ronald Crites W.</t>
  </si>
  <si>
    <t>Planning Fiber Optics Networks</t>
  </si>
  <si>
    <t>Harrisâ€™ Shock and Vibration Handbook</t>
  </si>
  <si>
    <t>6th Edition</t>
  </si>
  <si>
    <t>Allan Piersol G.</t>
  </si>
  <si>
    <t>Water Distribution System Handbook</t>
  </si>
  <si>
    <t>Thermodynamics and Applications in Hydrocarbon Energy Production</t>
  </si>
  <si>
    <t>Nanoelectronic Mixed-Signal System Design</t>
  </si>
  <si>
    <t>Saraju Mohanty P. Ph.D.</t>
  </si>
  <si>
    <t>High Power Laser Handbook</t>
  </si>
  <si>
    <t>Testing of Metals</t>
  </si>
  <si>
    <t>2014-09-29</t>
  </si>
  <si>
    <t>Machine Design Databook</t>
  </si>
  <si>
    <t>Design of Low-Noise Amplifiers for Ultra-Wideband Communications</t>
  </si>
  <si>
    <t>2016-05-26</t>
  </si>
  <si>
    <t>Roberto Ortega DĂ­az</t>
  </si>
  <si>
    <t>Schaum's Outline of Feedback and Control Systems</t>
  </si>
  <si>
    <t>2014-02-28</t>
  </si>
  <si>
    <t>Joseph DiStefano J. III PhD</t>
  </si>
  <si>
    <t>Extreme Ultraviolet Lithography</t>
  </si>
  <si>
    <t>Schaumâ€™s Outline of Applied Physics</t>
  </si>
  <si>
    <t>2012-01-31</t>
  </si>
  <si>
    <t>Heat Transfer in Process Engineering</t>
  </si>
  <si>
    <t>Electronic Materials and Processes Handbook</t>
  </si>
  <si>
    <t>Charles Harper A.</t>
  </si>
  <si>
    <t>Ductile Design of Steel Structures</t>
  </si>
  <si>
    <t>2017-10-23</t>
  </si>
  <si>
    <t>Materials Handbook: An Encyclopedia for Managers, Technical Professionals, Purchasing and Production Managers, Technicians, and Supervisors</t>
  </si>
  <si>
    <t>George Brady S.</t>
  </si>
  <si>
    <t>15th Edition</t>
  </si>
  <si>
    <t>Nalco Champion Fuel Field Manual</t>
  </si>
  <si>
    <t>2016-12-22</t>
  </si>
  <si>
    <t>Kim Peyton B.</t>
  </si>
  <si>
    <t>Smart Antennas with MATLABÂ®</t>
  </si>
  <si>
    <t>Frank Gross B. Ph.D.</t>
  </si>
  <si>
    <t>McGraw-Hill 36-Hour Course: Six Sigma</t>
  </si>
  <si>
    <t>2014-07-31</t>
  </si>
  <si>
    <t>Metal Building Systems: Design and Specifications</t>
  </si>
  <si>
    <t>FIBRE SCIENCE AND TECHNOLOGY</t>
  </si>
  <si>
    <t>Premamoy Ghosh Dr Ph.D.</t>
  </si>
  <si>
    <t>ENVIRONMENTAL GEOLOGY: Ecology, Resource and Hazard Management</t>
  </si>
  <si>
    <t>K. Valdiya S.</t>
  </si>
  <si>
    <t>2021-09-28</t>
  </si>
  <si>
    <t>Second edition.</t>
  </si>
  <si>
    <t>Cranes and Derricks</t>
  </si>
  <si>
    <t>2023-08-30</t>
  </si>
  <si>
    <t>Power Quality Primer</t>
  </si>
  <si>
    <t>Barry Kennedy W.</t>
  </si>
  <si>
    <t>Handbook of Optics: Volume IV - Optical Properties of Materials, Nonlinear Optics, Quantum Optics</t>
  </si>
  <si>
    <t>2012-11-26</t>
  </si>
  <si>
    <t>Industrial Refrigeration Handbook</t>
  </si>
  <si>
    <t>Wilbert Stoecker F.</t>
  </si>
  <si>
    <t>Handbook of Optics: Volume III - Vision and Vision Optics</t>
  </si>
  <si>
    <t>Heat-Transfer Calculations</t>
  </si>
  <si>
    <t>Global Kata: Success Through the Lean Business System Reference Model</t>
  </si>
  <si>
    <t>2016-06-30</t>
  </si>
  <si>
    <t>Terence Burton T.</t>
  </si>
  <si>
    <t>Infrastructure Planning, Engineering, and Economics</t>
  </si>
  <si>
    <t>2015-06-15</t>
  </si>
  <si>
    <t>Alvin Goodman S. Ph.D. P.E. F.ASCE</t>
  </si>
  <si>
    <t>Introduction to Water Resource Recovery Facility Design</t>
  </si>
  <si>
    <t>Precision Engineering</t>
  </si>
  <si>
    <t>V. Venkatesh C. Ph.D.</t>
  </si>
  <si>
    <t>Chemical Engineering: The Essential Reference</t>
  </si>
  <si>
    <t>2014-01-31</t>
  </si>
  <si>
    <t>Residential, Commercial and Industrial Electrical Systems: Protection, Testing and Commissioning</t>
  </si>
  <si>
    <t>2015-01-10</t>
  </si>
  <si>
    <t>Volume 3 Edition</t>
  </si>
  <si>
    <t>BUILDING CONSTRUCTION: Design Aspects of Leakage and Seepage Free Buildings</t>
  </si>
  <si>
    <t>Krishna Kant Er.</t>
  </si>
  <si>
    <t>Switch-Mode Power Supplies</t>
  </si>
  <si>
    <t>Christophe Basso P.</t>
  </si>
  <si>
    <t>Electronic Filter Design Handbook</t>
  </si>
  <si>
    <t>Arthur Williams B.</t>
  </si>
  <si>
    <t>Supply Management Handbook</t>
  </si>
  <si>
    <t>2014-11-24</t>
  </si>
  <si>
    <t>7th Edition</t>
  </si>
  <si>
    <t>Joseph Cavinato L. Ph.D. C.P.M.</t>
  </si>
  <si>
    <t>Metal Forming: Technology and Process Modelling</t>
  </si>
  <si>
    <t>Uday Dixit S.</t>
  </si>
  <si>
    <t>2016-02-23</t>
  </si>
  <si>
    <t>Mark Wiesner R.</t>
  </si>
  <si>
    <t>Highway Engineering Handbook: Building and Rehabilitating the Infrastructure</t>
  </si>
  <si>
    <t>2012-07-19</t>
  </si>
  <si>
    <t>Roger Brockenbrough L.</t>
  </si>
  <si>
    <t>Earth Retention Systems Handbook</t>
  </si>
  <si>
    <t>Inside the Civano Project: A Case Study of Large-Scale Sustainable Neighborhood Development</t>
  </si>
  <si>
    <t>C. Nichols Alan</t>
  </si>
  <si>
    <t>Programming the Photon: Getting Started with the Internet of Things</t>
  </si>
  <si>
    <t>Reinforced Concrete Structures: Analysis and Design</t>
  </si>
  <si>
    <t>David Fanella A. Ph.D. S.E. P.E. F.ASCE F.ACI</t>
  </si>
  <si>
    <t>Chemical Properties Handbook</t>
  </si>
  <si>
    <t>Carl Yaws L. Ph.D.</t>
  </si>
  <si>
    <t>RF and Microwave Power Amplifier Design</t>
  </si>
  <si>
    <t>Systems Analysis for Sustainable Engineering: Theory and Applications (Green Manufacturing &amp; Systems Engineering)</t>
  </si>
  <si>
    <t>Communications Receivers: Principles and Design</t>
  </si>
  <si>
    <t>2017-04-26</t>
  </si>
  <si>
    <t>Ing. habil Prof. Dr.</t>
  </si>
  <si>
    <t>Practical Control Engineering: A Guide for Engineers, Managers, and Practitioners</t>
  </si>
  <si>
    <t>David Koenig M.</t>
  </si>
  <si>
    <t>Manager's Guide to Fostering Innovation and Creativity in Teams</t>
  </si>
  <si>
    <t>Fluid Mechanics with Engineering Applications</t>
  </si>
  <si>
    <t>2022-08-01</t>
  </si>
  <si>
    <t>E. Finnemore John</t>
  </si>
  <si>
    <t>10th Edition</t>
  </si>
  <si>
    <t>Solid Waste Analysis and Minimization: A Systems Approach</t>
  </si>
  <si>
    <t>Matthew Franchetti J.</t>
  </si>
  <si>
    <t>Schaumâ€™s Outline of Quantum Mechanics</t>
  </si>
  <si>
    <t>Manager's Guide to Performance Reviews</t>
  </si>
  <si>
    <t>2014-12-26</t>
  </si>
  <si>
    <t>Electrical Engineerâ€™s Portable Handbook</t>
  </si>
  <si>
    <t>Electro-Optics Handbook</t>
  </si>
  <si>
    <t>Ronald Waynant W</t>
  </si>
  <si>
    <t>2013-07-16</t>
  </si>
  <si>
    <t>2nd ed.</t>
  </si>
  <si>
    <t>Handbook of Air Conditioning and Refrigeration</t>
  </si>
  <si>
    <t>2014-08-28</t>
  </si>
  <si>
    <t>Shan Wang K.</t>
  </si>
  <si>
    <t>Aboveground Storage Tanks</t>
  </si>
  <si>
    <t>2017-03-30</t>
  </si>
  <si>
    <t>Philip Myers E.</t>
  </si>
  <si>
    <t>Industrial Safety Management: Hazard Identification and Risk Control</t>
  </si>
  <si>
    <t>L. Deshmukh M.</t>
  </si>
  <si>
    <t>Construction Operations Manual of Policies and Procedures</t>
  </si>
  <si>
    <t>Urban Construction Project Management (McGraw-Hill Construction Series)</t>
  </si>
  <si>
    <t>Polymer Science and Technology: Plastics, Rubbers, Blends and Composites</t>
  </si>
  <si>
    <t>Premamoy Ghosh Ph.D. Dr</t>
  </si>
  <si>
    <t>Biosolids Engineering</t>
  </si>
  <si>
    <t>Michael McFarland J.</t>
  </si>
  <si>
    <t>Handbook of Heat Transfer</t>
  </si>
  <si>
    <t>2014-07-23</t>
  </si>
  <si>
    <t>Warren Rohsenow M.</t>
  </si>
  <si>
    <t>Six Sigma Black Belt Handbook (Six SIGMA Operational Methods)</t>
  </si>
  <si>
    <t>Steel Metallurgy: Properties, Specifications and Applications</t>
  </si>
  <si>
    <t>2015-06-30</t>
  </si>
  <si>
    <t>S. Mandal K.</t>
  </si>
  <si>
    <t>Manufacturing Execution Systems: Optimal Design, Planning, and Deployment</t>
  </si>
  <si>
    <t>Architectural Engineering Design: Mechanical Systems</t>
  </si>
  <si>
    <t>Robert Brown Butler</t>
  </si>
  <si>
    <t>Elements of Fracture Mechanics</t>
  </si>
  <si>
    <t>Prashant Kumar Prof.</t>
  </si>
  <si>
    <t>Digital Filters: Analysis, Design, and Signal Processing Applications</t>
  </si>
  <si>
    <t>2018-06-26</t>
  </si>
  <si>
    <t>Handbook of Petroleum Refining Processes</t>
  </si>
  <si>
    <t>2016-09-29</t>
  </si>
  <si>
    <t>Robert Meyers A. Ph.D.</t>
  </si>
  <si>
    <t>Failure Analysis of Engineering Materials</t>
  </si>
  <si>
    <t>2017-05-22</t>
  </si>
  <si>
    <t>Charlie Brooks R.</t>
  </si>
  <si>
    <t>Handbook of Electrical Design Details</t>
  </si>
  <si>
    <t>Photonics Rules of Thumb: Optics, Electro-Optics, Fiber Optics, and Lasers</t>
  </si>
  <si>
    <t>Construction Databook</t>
  </si>
  <si>
    <t>Residential, Commercial and Industrial Electrical Systems: Equipment and Selection</t>
  </si>
  <si>
    <t>2015-01-07</t>
  </si>
  <si>
    <t>Volume 1 Edition</t>
  </si>
  <si>
    <t>Budgeting for Managers</t>
  </si>
  <si>
    <t>Creating a Kaizen Culture: Align the Organization, Achieve Breakthrough Results, and Sustain the Gains</t>
  </si>
  <si>
    <t>Steam Turbines: Design, Applications, and Rerating</t>
  </si>
  <si>
    <t>Heinz Bloch P.</t>
  </si>
  <si>
    <t>Piping Handbook</t>
  </si>
  <si>
    <t>Mohinder Nayyar L.</t>
  </si>
  <si>
    <t>Disaster Science and Management</t>
  </si>
  <si>
    <t>Analog IC Design with Low-Dropout Regulators</t>
  </si>
  <si>
    <t>Gabriel Rincon-Mora Alfonso B.S. M.S. Ph.D.</t>
  </si>
  <si>
    <t>Standard Handbook of Plant Engineering</t>
  </si>
  <si>
    <t>Robert Rosaler C.</t>
  </si>
  <si>
    <t>Water Quality &amp; Treatment: A Handbook on Drinking Water</t>
  </si>
  <si>
    <t>Phase-Space Optics: Fundamentals and Applications</t>
  </si>
  <si>
    <t>Biosystems Engineering</t>
  </si>
  <si>
    <t>Electric Power Distribution</t>
  </si>
  <si>
    <t>Amarjit Pabla Singh</t>
  </si>
  <si>
    <t>Water Wells and Pumps</t>
  </si>
  <si>
    <t>2014-12-12</t>
  </si>
  <si>
    <t>S Khepar D M E (Roorkee) Ph D. (IIT, Delhi)</t>
  </si>
  <si>
    <t>Handbook of Optics: Volume I - Geometrical and Physical Optics, Polarized Light, Components and Instruments</t>
  </si>
  <si>
    <t>2012-11-28</t>
  </si>
  <si>
    <t>Widgets: The 12 New Rules for Managing Your Employees as If They're Real People</t>
  </si>
  <si>
    <t>Introduction to Geoinformatics</t>
  </si>
  <si>
    <t>G. Srivastava S</t>
  </si>
  <si>
    <t>Handbook of Plastics, Elastomers, and Composites</t>
  </si>
  <si>
    <t>Residential, Commercial and Industrial Electrical Systems: Network and Installation</t>
  </si>
  <si>
    <t>2015-01-09</t>
  </si>
  <si>
    <t>Volume 2 Edition</t>
  </si>
  <si>
    <t>Standard Handbook of Electronic Engineering</t>
  </si>
  <si>
    <t>2012-10-16</t>
  </si>
  <si>
    <t>Facility Design and Management Handbook</t>
  </si>
  <si>
    <t>Urban Transportation: Planning, Operation and Management</t>
  </si>
  <si>
    <t>Handbook of Electric Power Calculations</t>
  </si>
  <si>
    <t>H. Beaty Wayne</t>
  </si>
  <si>
    <t>Indoor Air Quality Handbook</t>
  </si>
  <si>
    <t>John Spengler D. Ph. D.</t>
  </si>
  <si>
    <t>Aircraft Materials and Analysis</t>
  </si>
  <si>
    <t>2015-05-28</t>
  </si>
  <si>
    <t>Piping Calculations Manual</t>
  </si>
  <si>
    <t>2014-02-26</t>
  </si>
  <si>
    <t>E. Menon Shashi P.E.</t>
  </si>
  <si>
    <t>Manual of Applied Field Hydrogeology</t>
  </si>
  <si>
    <t>Willis Weight D.</t>
  </si>
  <si>
    <t>Fluid Power Engineering</t>
  </si>
  <si>
    <t>2023-11-10</t>
  </si>
  <si>
    <t>M. Rabie Galal PhD</t>
  </si>
  <si>
    <t>Handbook for Quality Management: A Complete Guide to Operational Excellence</t>
  </si>
  <si>
    <t>2013-09-27</t>
  </si>
  <si>
    <t>McGraw-Hill's National Electrical CodeÂ® 2014 Handbook</t>
  </si>
  <si>
    <t>Frederic Hartwell P.</t>
  </si>
  <si>
    <t>28th Edition</t>
  </si>
  <si>
    <t>2012-12-06</t>
  </si>
  <si>
    <t>6th ed.</t>
  </si>
  <si>
    <t>Analysis of Irregular Shaped Structures: Wood Diaphragms and Shear Walls</t>
  </si>
  <si>
    <t>2022-10-03</t>
  </si>
  <si>
    <t>R. Malone Terry P.E. S.E.</t>
  </si>
  <si>
    <t>Properties of Gases and Liquids</t>
  </si>
  <si>
    <t>Bruce Poling E.</t>
  </si>
  <si>
    <t>Civil Engineering PE Practice Exams: Breadth and Depth</t>
  </si>
  <si>
    <t>2013-03-27</t>
  </si>
  <si>
    <t>Indranil Goswami Dr.</t>
  </si>
  <si>
    <t>Schaum's Outline of Strength of Materials</t>
  </si>
  <si>
    <t>2020-01-27</t>
  </si>
  <si>
    <t>Merle Potter C. PhD</t>
  </si>
  <si>
    <t>Operation of Water Resource Recovery Facilities, Manual of Practice No. 11</t>
  </si>
  <si>
    <t>2017-01-18</t>
  </si>
  <si>
    <t>Presentation Essentials: The Tools You Need to Captivate Your Audience, Deliver Your Story, and Make Your Message Memorable</t>
  </si>
  <si>
    <t>2023-02-23</t>
  </si>
  <si>
    <t>Structural Fire Engineering</t>
  </si>
  <si>
    <t>2020-05-22</t>
  </si>
  <si>
    <t>Venkatesh Kodur Kumar R. Ph.D. P.Eng.</t>
  </si>
  <si>
    <t>Machine Learning and Deep Learning Using Python and TensorFlow</t>
  </si>
  <si>
    <t>2021-04-05</t>
  </si>
  <si>
    <t>Venkata Konasani Reddy</t>
  </si>
  <si>
    <t>Handbook of Energy Engineering Calculations</t>
  </si>
  <si>
    <t>2013-02-06</t>
  </si>
  <si>
    <t>Tyler Hicks G. P.E.</t>
  </si>
  <si>
    <t>30 Arduino Projects for the Evil Genius</t>
  </si>
  <si>
    <t>2015-03-14</t>
  </si>
  <si>
    <t>Fiber Optic Installer's Field Manual</t>
  </si>
  <si>
    <t>Boss's Survival Guide: Workplace 911 for the Toughest Problems Today's Managers Face</t>
  </si>
  <si>
    <t>2015-03-16</t>
  </si>
  <si>
    <t>Schaum's Outline of Calculus</t>
  </si>
  <si>
    <t>2016-02-04</t>
  </si>
  <si>
    <t>Six Sigma DemystifiedÂ®</t>
  </si>
  <si>
    <t>2014-12-27</t>
  </si>
  <si>
    <t>Project Management in Construction</t>
  </si>
  <si>
    <t>Microfluid Mechanics: Principles and Modeling</t>
  </si>
  <si>
    <t>William Liou W.</t>
  </si>
  <si>
    <t>Planning and Design of Airports</t>
  </si>
  <si>
    <t>2017-06-29</t>
  </si>
  <si>
    <t>HVAC Pump Handbook</t>
  </si>
  <si>
    <t>James Rishel B.</t>
  </si>
  <si>
    <t>Essentials of Structural Dynamics</t>
  </si>
  <si>
    <t>2022-08-30</t>
  </si>
  <si>
    <t>Moving the Earth: The Workbook of Excavation, Fifth Edition</t>
  </si>
  <si>
    <t>Fifth Edition</t>
  </si>
  <si>
    <t>Electrical Safety of Low-Voltage Systems</t>
  </si>
  <si>
    <t>Mechanical Design of Microresonators: Modeling and Applications</t>
  </si>
  <si>
    <t>Nicholae Lobontiu O.</t>
  </si>
  <si>
    <t>Non-Destructive Test and Evaluation of Materials</t>
  </si>
  <si>
    <t>Aircraft Electricity and Electronics</t>
  </si>
  <si>
    <t>2019-04-29</t>
  </si>
  <si>
    <t>Thomas Eismin K.</t>
  </si>
  <si>
    <t>2023-01-27</t>
  </si>
  <si>
    <t>Making PIC Microcontroller Instruments and Controllers</t>
  </si>
  <si>
    <t>Harprit Sandhu Singh</t>
  </si>
  <si>
    <t>Process/Industrial Instruments and Controls Handbook</t>
  </si>
  <si>
    <t>2019-06-04</t>
  </si>
  <si>
    <t>Gregory McMillan K.</t>
  </si>
  <si>
    <t>Upskilling Imperative: 5 Ways to Make Learning Core to the Way We Work</t>
  </si>
  <si>
    <t>2023-06-19</t>
  </si>
  <si>
    <t>Operations Engineering and Management: Concepts, Analytics, and Principles for Improvement</t>
  </si>
  <si>
    <t>2020-11-23</t>
  </si>
  <si>
    <t>Seyed Iravani M. R.</t>
  </si>
  <si>
    <t>Quantum Computing: A Beginner's Introduction</t>
  </si>
  <si>
    <t>2019-03-28</t>
  </si>
  <si>
    <t>Parag Lala K. Ph.D.</t>
  </si>
  <si>
    <t>Trenchless Technology: Pipeline and Utility Design, Construction, and Renewal</t>
  </si>
  <si>
    <t>2021-11-24</t>
  </si>
  <si>
    <t>Mohammad Najafi Dr.</t>
  </si>
  <si>
    <t>2012-10-10</t>
  </si>
  <si>
    <t>Nalco Guide to Cooling Water Systems Failure Analysis</t>
  </si>
  <si>
    <t>Crucial Conversations Tools for Talking When Stakes Are High</t>
  </si>
  <si>
    <t>Perfect Phrases for Performance Reviews</t>
  </si>
  <si>
    <t>Fluid Mechanics with Civil Engineering Applications</t>
  </si>
  <si>
    <t>2023-12-29</t>
  </si>
  <si>
    <t>11th Edition</t>
  </si>
  <si>
    <t>World-Class Warehousing and Material Handling</t>
  </si>
  <si>
    <t>2016-10-27</t>
  </si>
  <si>
    <t>Edward Frazelle H. Dr.</t>
  </si>
  <si>
    <t>Wastewater Collection Systems Management MoP 7</t>
  </si>
  <si>
    <t>Wastewater Solids Incineration Systems MoP 30</t>
  </si>
  <si>
    <t>Java: A Beginner's Guide</t>
  </si>
  <si>
    <t>2022-10-31</t>
  </si>
  <si>
    <t>9th Edition</t>
  </si>
  <si>
    <t>Wireless Networks: Design and Integration for LTE, EVDO, HSPA, and WiMAX</t>
  </si>
  <si>
    <t>Clint Smith P.E.</t>
  </si>
  <si>
    <t>Working Guide to Process Equipment, Third Edition</t>
  </si>
  <si>
    <t>Third Edition</t>
  </si>
  <si>
    <t>Handbook of Chemical Engineering Calculations</t>
  </si>
  <si>
    <t>HANDBOOK OF BIOMEDICAL INSTRUMENTATION</t>
  </si>
  <si>
    <t>R. Khandpur S. Dr</t>
  </si>
  <si>
    <t>McGraw-Hill's National Electrical CodeÂ® 2014 Grounding and Earthing Handbook</t>
  </si>
  <si>
    <t>David Stockin R.</t>
  </si>
  <si>
    <t>Water Reuse: Issues, Technologies, and Applications</t>
  </si>
  <si>
    <t>Metcalf &amp; Eddy, Inc. an AECOM Company</t>
  </si>
  <si>
    <t>Forensic Geotechnical and Foundation Engineering</t>
  </si>
  <si>
    <t>2012-12-14</t>
  </si>
  <si>
    <t>Robert Day W.</t>
  </si>
  <si>
    <t>Essentials of Engineering Thermodynamics: Principles and Applications</t>
  </si>
  <si>
    <t>2021-05-27</t>
  </si>
  <si>
    <t>Leading the Malcolm Baldrige Way: How World-Class Leaders Align Their Organizations to Deliver Exceptional Results</t>
  </si>
  <si>
    <t>2019-01-30</t>
  </si>
  <si>
    <t>Electromagnetic Fields and Waves: Fundamentals of Engineering</t>
  </si>
  <si>
    <t>2020-02-25</t>
  </si>
  <si>
    <t>Sedki Riad M. Ph.D. P.E.</t>
  </si>
  <si>
    <t>Radar Handbook</t>
  </si>
  <si>
    <t>Merrill Skolnik I.</t>
  </si>
  <si>
    <t>2016-02-03</t>
  </si>
  <si>
    <t>2nd edition.</t>
  </si>
  <si>
    <t>2018-05-22</t>
  </si>
  <si>
    <t>6th edition.</t>
  </si>
  <si>
    <t>CATIA V5: Macro Programming with Visual Basic Script</t>
  </si>
  <si>
    <t>2013-08-05</t>
  </si>
  <si>
    <t>Dieter Ziethen R.</t>
  </si>
  <si>
    <t>Corrosion Engineering</t>
  </si>
  <si>
    <t>Pierre Roberge R.</t>
  </si>
  <si>
    <t>Handbook of Corrosion Engineering</t>
  </si>
  <si>
    <t>2019-10-23</t>
  </si>
  <si>
    <t>Pierre Roberge R. Ph.D.</t>
  </si>
  <si>
    <t>Manager's Guide to Virtual Teams</t>
  </si>
  <si>
    <t>Arduino and Raspberry Pi Sensor Projects for the Evil Genius</t>
  </si>
  <si>
    <t>2017-02-21</t>
  </si>
  <si>
    <t>Microchip Fabrication</t>
  </si>
  <si>
    <t>Peter Zant Van</t>
  </si>
  <si>
    <t>Lineman's and Cableman's Handbook</t>
  </si>
  <si>
    <t>2023-02-20</t>
  </si>
  <si>
    <t>Thomas Shoemaker (deceased) M.</t>
  </si>
  <si>
    <t>14th Edition</t>
  </si>
  <si>
    <t>2018 International Building Code Illustrated Handbook</t>
  </si>
  <si>
    <t>2018-09-27</t>
  </si>
  <si>
    <t>Douglas Thornburg W. AIA</t>
  </si>
  <si>
    <t>Robotics Technology and Flexible Automation</t>
  </si>
  <si>
    <t>S. Deb R.</t>
  </si>
  <si>
    <t>Robot Builder's Bonanza</t>
  </si>
  <si>
    <t>2019-02-27</t>
  </si>
  <si>
    <t>Practical Electronics for Inventors</t>
  </si>
  <si>
    <t>Schaum's Outline of College Algebra</t>
  </si>
  <si>
    <t>2019-05-03</t>
  </si>
  <si>
    <t>Robert Moyer E. Dr.</t>
  </si>
  <si>
    <t>Schaum's Outline of Discrete Mathematics</t>
  </si>
  <si>
    <t>2022-02-25</t>
  </si>
  <si>
    <t>Plant Equipment and Maintenance Engineering Handbook</t>
  </si>
  <si>
    <t>2014-05-07</t>
  </si>
  <si>
    <t>Duncan Richardson C. PE</t>
  </si>
  <si>
    <t>Schaum's Outline of Electromagnetics</t>
  </si>
  <si>
    <t>2019-05-02</t>
  </si>
  <si>
    <t>Aircraft Maintenance &amp; Repair</t>
  </si>
  <si>
    <t>2019-07-30</t>
  </si>
  <si>
    <t>Ronald Sterkenburg Dr.</t>
  </si>
  <si>
    <t>2021 International Building Code Illustrated Handbook</t>
  </si>
  <si>
    <t>2022-01-20</t>
  </si>
  <si>
    <t>Douglas Thornburg W. AIA CBO</t>
  </si>
  <si>
    <t>Building Design and Construction Handbook, Sixth Edition</t>
  </si>
  <si>
    <t>Sixth Edition</t>
  </si>
  <si>
    <t>Lindenâ€™s Handbook of Batteries, Fourth Edition</t>
  </si>
  <si>
    <t>Fourth Edition</t>
  </si>
  <si>
    <t>Supply Chain Management Demystified</t>
  </si>
  <si>
    <t>John McKeller M.</t>
  </si>
  <si>
    <t>Microwave Transmission Networks: Planning, Design, and Deployment</t>
  </si>
  <si>
    <t>2020-05-21</t>
  </si>
  <si>
    <t>Bruce Rittmann E. Ph.D.</t>
  </si>
  <si>
    <t>Green Electronics Design and Manufacturing: Implementing Lead-Free and RoHS-Compliant Global Products</t>
  </si>
  <si>
    <t>Sammy Shina G.</t>
  </si>
  <si>
    <t>Revised Edition</t>
  </si>
  <si>
    <t>Coaching Essentials for Managers: The Tools You Need to Ignite Greatness in Each Employee</t>
  </si>
  <si>
    <t>Effective Coaching</t>
  </si>
  <si>
    <t>Marshall Cook J.</t>
  </si>
  <si>
    <t>Emergency Management for Facility and Property Managers</t>
  </si>
  <si>
    <t>2016-06-29</t>
  </si>
  <si>
    <t>Richard Payant P. Dr.</t>
  </si>
  <si>
    <t>Lean Maintenance Repair and Overhaul: Changing the Way You Do Business</t>
  </si>
  <si>
    <t>Mandyam Srinivasan M. Ph.D.</t>
  </si>
  <si>
    <t>Communication Satellite Antennas: System Architecture, Technology, and Evaluation</t>
  </si>
  <si>
    <t>Green Building Bottom Line: The Real Cost of Sustainable Building</t>
  </si>
  <si>
    <t>Master Handbook of Acoustics</t>
  </si>
  <si>
    <t>2021-11-22</t>
  </si>
  <si>
    <t>F. Everest Alton</t>
  </si>
  <si>
    <t>Perfect Phrases for Coaching Employee Performance: Hundreds of Ready-to-Use Phrases for Building Employee Engagement and Creating Star Performers</t>
  </si>
  <si>
    <t>McGraw-Hill's National Electrical Code 2011 Handbook</t>
  </si>
  <si>
    <t>2013-06-24</t>
  </si>
  <si>
    <t>Brian McPartland J.</t>
  </si>
  <si>
    <t>27th Edition</t>
  </si>
  <si>
    <t>Large-Scale Solar Power System Design: An Engineering Guide for Grid-Connected Solar Power Generation</t>
  </si>
  <si>
    <t>2013-01-07</t>
  </si>
  <si>
    <t>2024-02-02</t>
  </si>
  <si>
    <t>Supportability Engineering Handbook</t>
  </si>
  <si>
    <t>James Jones V.</t>
  </si>
  <si>
    <t>Fuzzy Logic: Applications in Artificial Intelligence, Big Data, and Machine Learning</t>
  </si>
  <si>
    <t>2023-11-22</t>
  </si>
  <si>
    <t>Lefteri Tsoukalas H.</t>
  </si>
  <si>
    <t>Toyota Way: 14 Management Principles from the World's Greatest Manufacturer</t>
  </si>
  <si>
    <t>Jeffrey Liker K.</t>
  </si>
  <si>
    <t>Engineering Ethics and Design for Product Safety</t>
  </si>
  <si>
    <t>2021-01-28</t>
  </si>
  <si>
    <t>Kenneth d'Entremont L. Ph.D. P.E.</t>
  </si>
  <si>
    <t>Juran's Quality Handbook: The Complete Guide to Performance Excellence</t>
  </si>
  <si>
    <t>Joseph De Feo A.</t>
  </si>
  <si>
    <t>Additive Manufacturing of Metals: Fundamentals and Testing of 3D and 4D Printing</t>
  </si>
  <si>
    <t>2021-12-29</t>
  </si>
  <si>
    <t>Hisham Abdel-Aal A. Ph.D.</t>
  </si>
  <si>
    <t>Sustainable Energy Systems Engineering: The Complete Green Building Design Resource</t>
  </si>
  <si>
    <t>Programming with STM32: Getting Started with the Nucleo Board and C/C++</t>
  </si>
  <si>
    <t>2015-04-01</t>
  </si>
  <si>
    <t>Laser Guidebook, Second Edition</t>
  </si>
  <si>
    <t>Second Edition</t>
  </si>
  <si>
    <t>Electronic Instrument Handbook</t>
  </si>
  <si>
    <t>Clyde Coombs F. Jr.</t>
  </si>
  <si>
    <t>Understanding Earthquake Disasters</t>
  </si>
  <si>
    <t>Amita Sinvhal (nee Amita Agarwal)</t>
  </si>
  <si>
    <t>Dimensioning and Tolerancing Handbook</t>
  </si>
  <si>
    <t>2014-05-14</t>
  </si>
  <si>
    <t>Nuclear Chemical Engineering</t>
  </si>
  <si>
    <t>Masonry and Concrete</t>
  </si>
  <si>
    <t>Standard Handbook of Audio Engineering</t>
  </si>
  <si>
    <t>System on Package: Miniaturization of the Entire System</t>
  </si>
  <si>
    <t>Rao Tummala R.</t>
  </si>
  <si>
    <t>CNC Programming Using Fanuc Custom Macro B</t>
  </si>
  <si>
    <t>S. Sinha K.</t>
  </si>
  <si>
    <t>McGraw Hill's National Electrical Code 2020 Handbook</t>
  </si>
  <si>
    <t>2021-07-28</t>
  </si>
  <si>
    <t>30th Edition</t>
  </si>
  <si>
    <t>Civil Engineering Formulas</t>
  </si>
  <si>
    <t>Tyler Hicks G.</t>
  </si>
  <si>
    <t>Handbook of Mechanical Engineering Calculations</t>
  </si>
  <si>
    <t>Modeling of Asphalt Concrete</t>
  </si>
  <si>
    <t>Y. Kim Richard</t>
  </si>
  <si>
    <t>Schaum's Outline of Engineering Mechanics: Dynamics</t>
  </si>
  <si>
    <t>2021-03-02</t>
  </si>
  <si>
    <t>Merle Potter C.</t>
  </si>
  <si>
    <t>Welding Licensing Exam Study Guide</t>
  </si>
  <si>
    <t>2022-05-11</t>
  </si>
  <si>
    <t>Mark Miller R.</t>
  </si>
  <si>
    <t>Soil Mechanics and Foundation Engineering: Fundamentals and Applications</t>
  </si>
  <si>
    <t>2021-09-22</t>
  </si>
  <si>
    <t>Nagaratnam Sivakugan Dr.</t>
  </si>
  <si>
    <t>Radiant Heating and Cooling Handbook</t>
  </si>
  <si>
    <t>2012-12-11</t>
  </si>
  <si>
    <t>Richard Watson D.</t>
  </si>
  <si>
    <t>Global Project Management Handbook: Planning, Organizing, and Controlling International Projects</t>
  </si>
  <si>
    <t>David Cleland I.</t>
  </si>
  <si>
    <t>Frontiers in Antennas: Next Generation Design &amp; Engineering</t>
  </si>
  <si>
    <t>Frank Gross B.</t>
  </si>
  <si>
    <t>Theory of Constraints Handbook</t>
  </si>
  <si>
    <t>James Cox F. Ph.D CFPIM CIRM III</t>
  </si>
  <si>
    <t>CATIA Core Tools: Computer Aided Three-Dimensional Interactive Application</t>
  </si>
  <si>
    <t>2013-05-14</t>
  </si>
  <si>
    <t>Power System Stability and Control</t>
  </si>
  <si>
    <t>2022-07-27</t>
  </si>
  <si>
    <t>Prabha Kundur S.</t>
  </si>
  <si>
    <t>Distillation Operation</t>
  </si>
  <si>
    <t>Henry Kister Z.</t>
  </si>
  <si>
    <t>Modern Optical Engineering: The Design of Optical Systems</t>
  </si>
  <si>
    <t>Warren Smith J.</t>
  </si>
  <si>
    <t>Fundamentals of Engineering FE Civil All-in-One Exam Guide</t>
  </si>
  <si>
    <t>2023-11-27</t>
  </si>
  <si>
    <t>McGraw Hill's National Electrical Safety Code (NESC) 2023 Handbook</t>
  </si>
  <si>
    <t>David Marne J. P.E. B.S.E.E.</t>
  </si>
  <si>
    <t>Aircraft Powerplants: Powerplant Certification</t>
  </si>
  <si>
    <t>Thomas Wild W. Ph.D.</t>
  </si>
  <si>
    <t>2023-11-06</t>
  </si>
  <si>
    <t>David Fanella A. Ph.D. S.E. P.E. F.ASCE F.SEI F.ACI</t>
  </si>
  <si>
    <t>Rain, Snow, and Ice Loads: Time-Saving Methods Using the 2018 IBC and ASCE/SEI 7-16</t>
  </si>
  <si>
    <t>2020-12-15</t>
  </si>
  <si>
    <t>David Fanella A.</t>
  </si>
  <si>
    <t>Principles of Computer Security: CompTIA Security+ and Beyond (Exam SY0-601)</t>
  </si>
  <si>
    <t>Wm. Conklin Arthur Dr. CompTIA Security+ CISSP GICSP GRID GCIP GCFA GCIA GCDA CSSLP CRISC</t>
  </si>
  <si>
    <t>Distillation Design</t>
  </si>
  <si>
    <t>2013-08-23</t>
  </si>
  <si>
    <t>Practical Optical System Layout: And Use of Stock Lenses</t>
  </si>
  <si>
    <t>Design for Six Sigma: A Roadmap for Product Development</t>
  </si>
  <si>
    <t>Switching Power Supply Design</t>
  </si>
  <si>
    <t>Mechanical Design Handbook, Measurement, Analysis, and Control of Dynamic Systems</t>
  </si>
  <si>
    <t>Entrepreneurial Finance: Finance and Business Strategies for the Serious Entrepreneur</t>
  </si>
  <si>
    <t>Electrical Power Distribution</t>
  </si>
  <si>
    <t>2015-04-02</t>
  </si>
  <si>
    <t>Site Planning and Design Handbook</t>
  </si>
  <si>
    <t>Thomas Russ H.</t>
  </si>
  <si>
    <t>Construction Planning, Equipment, and Methods</t>
  </si>
  <si>
    <t>2023-10-27</t>
  </si>
  <si>
    <t>Robert Peurifoy L. The late</t>
  </si>
  <si>
    <t>Schaum's Outline of Differential Equations</t>
  </si>
  <si>
    <t>Water Quality Control Handbook</t>
  </si>
  <si>
    <t>E. Alley Roberts</t>
  </si>
  <si>
    <t>Mass Timber Buildings and the IBCÂ®, 2021 Edition</t>
  </si>
  <si>
    <t>2022-09-30</t>
  </si>
  <si>
    <t>Flood and Tsunami Loads: Time-Saving Methods Using the 2018 IBC and ASCE/SEI 7-16</t>
  </si>
  <si>
    <t>Electric Motor Handbook</t>
  </si>
  <si>
    <t>James Kirtley L. Jr.</t>
  </si>
  <si>
    <t>Design of Reinforced Masonry Structures</t>
  </si>
  <si>
    <t>Electric Vehicle Engineering</t>
  </si>
  <si>
    <t>2021-02-18</t>
  </si>
  <si>
    <t>2021-12-23</t>
  </si>
  <si>
    <t>Indranil Goswami Dr. Ph.D. P.E.</t>
  </si>
  <si>
    <t>Hydraulic Design Handbook</t>
  </si>
  <si>
    <t>Hybrid Electric Vehicle Design and Control: Intelligent Omnidirectional Hybrids</t>
  </si>
  <si>
    <t>2013-11-27</t>
  </si>
  <si>
    <t>Handbook of Switchgears</t>
  </si>
  <si>
    <t>Phase-Locked Loops: Design, Simulation, and Applications</t>
  </si>
  <si>
    <t>Roland Best E.</t>
  </si>
  <si>
    <t>Practical Antenna Handbook</t>
  </si>
  <si>
    <t>Joseph Carr J.</t>
  </si>
  <si>
    <t>Transport Phenomena for Biological and Agricultural Engineers: A Problem-Based Approach</t>
  </si>
  <si>
    <t>2023-08-24</t>
  </si>
  <si>
    <t>Breakthrough Improvement with QI Macros and ExcelÂ®: Finding the Invisible Low-Hanging Fruit</t>
  </si>
  <si>
    <t>Forensic Structural Engineering Handbook, Second Edition</t>
  </si>
  <si>
    <t>Editor Edition</t>
  </si>
  <si>
    <t>Digital Analysis of Remotely Sensed Imagery</t>
  </si>
  <si>
    <t>Existing Sewer Evaluation and Rehabilitation: WEF Manual of Practice No. FD-6 ASCE/EWRI Manuals and Reports on Engineering Practice No. 62</t>
  </si>
  <si>
    <t>Blade Design and Analysis for Steam Turbines</t>
  </si>
  <si>
    <t>Murari Singh P. Dr.</t>
  </si>
  <si>
    <t>Structural Engineering SE All-in-One Exam Guide: Breadth and Depth</t>
  </si>
  <si>
    <t>Dave Adams K. P.E. S.E.</t>
  </si>
  <si>
    <t>In Vivo Clinical Imaging and Diagnosis</t>
  </si>
  <si>
    <t>Toyota Way Fieldbook</t>
  </si>
  <si>
    <t>Carbon Nano Forms and Applications</t>
  </si>
  <si>
    <t>2022-01-28</t>
  </si>
  <si>
    <t>Crucial Conversations: Tools for Talking When Stakes are High</t>
  </si>
  <si>
    <t>2022-06-25</t>
  </si>
  <si>
    <t>Bioreactors: Analysis and Design</t>
  </si>
  <si>
    <t>Wire Bonding in Microelectronics</t>
  </si>
  <si>
    <t>Handbook of Optics: Volume V â€“ Atmospheric Optics, Modulators, Fiber Optics, X-Ray and Neutron Optics</t>
  </si>
  <si>
    <t>Switchmode Power Supply Handbook</t>
  </si>
  <si>
    <t>Java: The Complete Reference</t>
  </si>
  <si>
    <t>2022-12-29</t>
  </si>
  <si>
    <t>12th Edition</t>
  </si>
  <si>
    <t>Mechanics of Asphalt: Microstructure and Micromechanics</t>
  </si>
  <si>
    <t>Project Management: Strategic Design and Implementation</t>
  </si>
  <si>
    <t>Vibrations of Continuous Systems</t>
  </si>
  <si>
    <t>Arthur Leissa W.</t>
  </si>
  <si>
    <t>Information Technology in Water and Wastewater Utilities: WEF MoP No. 33</t>
  </si>
  <si>
    <t>Structural Wood Design Examples, 2015/2018 Edition</t>
  </si>
  <si>
    <t>Facility Piping Systems Handbook: For Industrial, Commercial, and Healthcare Facilities</t>
  </si>
  <si>
    <t>Design for Six Sigma for Service</t>
  </si>
  <si>
    <t>Satellite Communications</t>
  </si>
  <si>
    <t>Mechanisms and Mechanical Devices Sourcebook</t>
  </si>
  <si>
    <t>2013-07-25</t>
  </si>
  <si>
    <t>Ethics in Civil and Structural Engineering: Professional Responsibility and Standard of Care</t>
  </si>
  <si>
    <t>2022-02-28</t>
  </si>
  <si>
    <t>Dave Adams K.</t>
  </si>
  <si>
    <t>Transport Phenomena in Biomedical Engineering: Artifical organ Design and Development, and Tissue Engineering</t>
  </si>
  <si>
    <t>Kal Sharma Renganathan</t>
  </si>
  <si>
    <t>Drucker Lectures: Essential Lessons on Management, Society and Economy</t>
  </si>
  <si>
    <t>Power Integrity: Measuring, Optimizing, and Troubleshooting Power Related Parameters in Electronics Systems</t>
  </si>
  <si>
    <t>2014-12-19</t>
  </si>
  <si>
    <t>Steven Sandler M.</t>
  </si>
  <si>
    <t>Hardware Implementation of Finite-Field Arithmetic</t>
  </si>
  <si>
    <t>Chemical Process and Design Handbook</t>
  </si>
  <si>
    <t>2012-11-14</t>
  </si>
  <si>
    <t>James Speight G.</t>
  </si>
  <si>
    <t>Engineering Guide to LEED - New Construction: Sustainable Construction for Engineers</t>
  </si>
  <si>
    <t>Solar Hydrogen Generation: Transition Metal Oxides in Water Photoelectrolysis</t>
  </si>
  <si>
    <t>2013-01-29</t>
  </si>
  <si>
    <t>Exergy Tables: A Comprehensive Set of Exergy Values to Streamline Energy Efficiency Analysis</t>
  </si>
  <si>
    <t>2023-10-25</t>
  </si>
  <si>
    <t>Automation Advantage: Embrace the Future of Productivity and Improve Speed, Quality, and Customer Experience Through AI</t>
  </si>
  <si>
    <t>Seismic Loads: Time-Saving Methods Using the 2018 IBC and ASCE/SEI 7-16</t>
  </si>
  <si>
    <t>2021-08-25</t>
  </si>
  <si>
    <t>Carrier-Grade VoIP</t>
  </si>
  <si>
    <t>Construction Waterproofing Handbook</t>
  </si>
  <si>
    <t>Michael Kubal T.</t>
  </si>
  <si>
    <t>Biofuels Refining and Performance</t>
  </si>
  <si>
    <t>Human Factors and Ergonomics Design Handbook</t>
  </si>
  <si>
    <t>2016-08-31</t>
  </si>
  <si>
    <t>Industrial Water Quality</t>
  </si>
  <si>
    <t>W. Eckenfelder Wesley</t>
  </si>
  <si>
    <t>Groundwater Resources: Sustainability, Management, and Restoration</t>
  </si>
  <si>
    <t>Nanotechnology for Environmental Decontamination</t>
  </si>
  <si>
    <t>Manoj Ram K.</t>
  </si>
  <si>
    <t>Jeffrey Liker K. Dr.</t>
  </si>
  <si>
    <t>Wind Loads: Time-Saving Methods Using the 2018 IBC and ASCE/SEI 7-16</t>
  </si>
  <si>
    <t>2021-03-26</t>
  </si>
  <si>
    <t>David Fanella A</t>
  </si>
  <si>
    <t>Fundamentals of Radar Signal Processing</t>
  </si>
  <si>
    <t>2022-06-03</t>
  </si>
  <si>
    <t>Mark Richards A. Ph.D.</t>
  </si>
  <si>
    <t>Green Supply Chain Management: Product Life Cycle Approach</t>
  </si>
  <si>
    <t>A Working Guide to Process Equipment</t>
  </si>
  <si>
    <t>Norman Lieberman P.</t>
  </si>
  <si>
    <t>Product Manager's Desk Reference</t>
  </si>
  <si>
    <t>2023-05-24</t>
  </si>
  <si>
    <t>Orlicky's Material Requirements Planning</t>
  </si>
  <si>
    <t>2023-10-23</t>
  </si>
  <si>
    <t>Modular Design for Machine Tools</t>
  </si>
  <si>
    <t>Multivariate Statistical Methods in Quality Management</t>
  </si>
  <si>
    <t>Water Resources Sustainability</t>
  </si>
  <si>
    <t>Larry Mays W. Ph.D. P.E. P.H.</t>
  </si>
  <si>
    <t>2023-11-17</t>
  </si>
  <si>
    <t>Geotechnical Engineering: Soil and Foundation Principles and Practice</t>
  </si>
  <si>
    <t>R. Handy L.</t>
  </si>
  <si>
    <t>Pump Handbook</t>
  </si>
  <si>
    <t>Igor Karassik J.</t>
  </si>
  <si>
    <t>Quantitative Phase Imaging of Cells and Tissues</t>
  </si>
  <si>
    <t>Fundamentals and Applications of Renewable Energy</t>
  </si>
  <si>
    <t>2023-07-26</t>
  </si>
  <si>
    <t>ALUMINIUM ROLLING: Processes, Principles &amp; Applications</t>
  </si>
  <si>
    <t>R. Singh V.</t>
  </si>
  <si>
    <t>Video Over Wireless</t>
  </si>
  <si>
    <t>2016-02-29</t>
  </si>
  <si>
    <t>Power Quality in Electrical Systems</t>
  </si>
  <si>
    <t>Petroleum Fuels Manufacturing Handbook: Including Specialty Products and Sustainable Manufacturing Techniques</t>
  </si>
  <si>
    <t>Teach Yourself Electricity and Electronics</t>
  </si>
  <si>
    <t>2022-10-28</t>
  </si>
  <si>
    <t>Modern Plastics Handbook</t>
  </si>
  <si>
    <t>Sustainability in the Process Industry: Integration and Optimization</t>
  </si>
  <si>
    <t>McGraw-Hill Machining and Metalworking Handbook</t>
  </si>
  <si>
    <t>Six Sigma Leader: How Top Executives Will Prevail in the 21st Century</t>
  </si>
  <si>
    <t>Standard Aircraft Handbook for Mechanics and Technicians</t>
  </si>
  <si>
    <t>2021-03-31</t>
  </si>
  <si>
    <t>Handbook of Plastics Technologies: The Complete Guide to Properties and Performance</t>
  </si>
  <si>
    <t>Open Channel Hydraulics</t>
  </si>
  <si>
    <t>2021-10-26</t>
  </si>
  <si>
    <t>Terry Sturm W. Ph.D. P.E. F.ASCE</t>
  </si>
  <si>
    <t>Disassembly Line: Balancing and Modeling</t>
  </si>
  <si>
    <t>Seamus McGovern M.</t>
  </si>
  <si>
    <t>Heating Boiler Operator's Manual: Maintenance, Operation, and Repair</t>
  </si>
  <si>
    <t>Mohammad Malek A. Ph.D. P.E.</t>
  </si>
  <si>
    <t>Commercial Aviation Safety</t>
  </si>
  <si>
    <t>2023-07-18</t>
  </si>
  <si>
    <t>2021-02-25</t>
  </si>
  <si>
    <t>2022-02-24</t>
  </si>
  <si>
    <t>Handbook of Environmental Engineering Calculations</t>
  </si>
  <si>
    <t>C. Lee C.</t>
  </si>
  <si>
    <t>Handbook of Die Design</t>
  </si>
  <si>
    <t>Alternative Water Sources and Wastewater Management</t>
  </si>
  <si>
    <t>2013-06-25</t>
  </si>
  <si>
    <t>E. Boulware W. "Bob"</t>
  </si>
  <si>
    <t>Nutrient Removal: WEF MoP No. 34</t>
  </si>
  <si>
    <t>Sustainability in Construction: LEED Green Associate Certification Preparation</t>
  </si>
  <si>
    <t>2023-04-04</t>
  </si>
  <si>
    <t>Husam Alshareef A.</t>
  </si>
  <si>
    <t>Maynard's Industrial and Systems Engineering Handbook</t>
  </si>
  <si>
    <t>2022-12-28</t>
  </si>
  <si>
    <t>Bopaya Bidanda M.</t>
  </si>
  <si>
    <t>Fundamentals of Artificial Intelligence: Problem Solving and Automated Reasoning</t>
  </si>
  <si>
    <t>Reverse Engineering: Mechanisms, Structures, Systems &amp; Materials</t>
  </si>
  <si>
    <t>Robert Messler W. Jr. Ph.D. FASM FAWS</t>
  </si>
  <si>
    <t>Handbook of Transportation Engineering, Volume I: Systems and Operations</t>
  </si>
  <si>
    <t>Schaumâ€™s Outline of Biochemistry</t>
  </si>
  <si>
    <t>Philip Kuchel W. Ph.D</t>
  </si>
  <si>
    <t>Engineering Thermodynamics of Thermal Radiation: for Solar Power Utilization</t>
  </si>
  <si>
    <t>Sales Essentials: The Tools You Need at Every Stage to Close More Deals and Crush Your Quota</t>
  </si>
  <si>
    <t>Area Array Packaging Handbook: Manufacturing and Assembly</t>
  </si>
  <si>
    <t>Ken Gilleo Ph.D.</t>
  </si>
  <si>
    <t>Trenchless Technology Piping: Installation and Inspection</t>
  </si>
  <si>
    <t>Electromechanical Devices &amp; Components Illustrated Sourcebook</t>
  </si>
  <si>
    <t>Brian Elliott S.</t>
  </si>
  <si>
    <t>Biofilm Reactors - WEF MoP 35</t>
  </si>
  <si>
    <t>2019-09-26</t>
  </si>
  <si>
    <t>Joseph Koo H. Sc.D.</t>
  </si>
  <si>
    <t>Schaum's Outline of Probability, Random Variables, and Random Processes</t>
  </si>
  <si>
    <t>2020-06-23</t>
  </si>
  <si>
    <t>Hwei Hsu P.</t>
  </si>
  <si>
    <t>Say It with Presentations, Second Edition, Revised &amp; Expanded: How to Design and Deliver Successful Business Presentations</t>
  </si>
  <si>
    <t>5th edition</t>
  </si>
  <si>
    <t>Writing Winning Business Proposals</t>
  </si>
  <si>
    <t>Richard Freed C.</t>
  </si>
  <si>
    <t>Lydia Cline Sloan</t>
  </si>
  <si>
    <t>Geotechnical Engineer's Portable Handbook</t>
  </si>
  <si>
    <t>2013-01-28</t>
  </si>
  <si>
    <t>Foundation Engineering: Geotechnical Principles and Practical Applications</t>
  </si>
  <si>
    <t>2020-04-17</t>
  </si>
  <si>
    <t>Richard Handy L. Ph.D.</t>
  </si>
  <si>
    <t>Beginner's Guide to Reading Schematics</t>
  </si>
  <si>
    <t>2018-10-25</t>
  </si>
  <si>
    <t>Standard Handbook of Biomedical Engineering &amp; Design</t>
  </si>
  <si>
    <t>Steel Water Storage Tanks: Design, Construction, Maintenance, and Repair</t>
  </si>
  <si>
    <t>Green Roof Construction and Maintenance</t>
  </si>
  <si>
    <t>Environmental Studies: A Practitioner's Approach</t>
  </si>
  <si>
    <t>Factory Physics for Managers: How Leaders Improve Performance in a Postâ€“Lean Six Sigma World</t>
  </si>
  <si>
    <t>Edward Pound S.</t>
  </si>
  <si>
    <t>Buried Pipe Design</t>
  </si>
  <si>
    <t>A. Moser P.</t>
  </si>
  <si>
    <t>Temporary Structures in Construction</t>
  </si>
  <si>
    <t>Robert Ratay T. Ph.D. P.E.</t>
  </si>
  <si>
    <t>Prevention and Control of Sewer System Overflows: MOP FD-17</t>
  </si>
  <si>
    <t>Time Management Essentials: The Tools You Need to Maximize Your Attention, Energy, and Productivity</t>
  </si>
  <si>
    <t>2023-09-27</t>
  </si>
  <si>
    <t>Anna Kornick Dearmon</t>
  </si>
  <si>
    <t>Construction Safety: Health, Practices, and OSHA</t>
  </si>
  <si>
    <t>2021-12-28</t>
  </si>
  <si>
    <t>M. Islam Rashad Dr.</t>
  </si>
  <si>
    <t>Learn Aspen Plus in 24 Hours</t>
  </si>
  <si>
    <t>2022-02-26</t>
  </si>
  <si>
    <t>Thomas Adams A. II</t>
  </si>
  <si>
    <t>Heat and Mass Transfer for Chemical Engineers: Principles and Applications</t>
  </si>
  <si>
    <t>2021-11-29</t>
  </si>
  <si>
    <t>High-Velocity Edge: How Market Leaders Leverage Operational Excellence to Beat the Competition</t>
  </si>
  <si>
    <t>Steven Spear J.</t>
  </si>
  <si>
    <t>McGraw-Hill 36-Hour Course: Operations Management</t>
  </si>
  <si>
    <t>Linda Brennan L. Ph.D.</t>
  </si>
  <si>
    <t>Optical System Design</t>
  </si>
  <si>
    <t>Project Planning, Scheduling, and Control: The Ultimate Hands-On Guide to Bringing Projects in On Time and On Budget</t>
  </si>
  <si>
    <t>2023-04-26</t>
  </si>
  <si>
    <t>James Lewis P. PhD</t>
  </si>
  <si>
    <t>Power Electronics in Energy Conversion Systems</t>
  </si>
  <si>
    <t>Standard Aircraft Engines Handbook</t>
  </si>
  <si>
    <t>2022-05-20</t>
  </si>
  <si>
    <t>Lean Six Sigma Demystified</t>
  </si>
  <si>
    <t>Gray Hat Hacking: The Ethical Hacker's Handbook</t>
  </si>
  <si>
    <t>2022-09-29</t>
  </si>
  <si>
    <t>Water Treatment Plant Design</t>
  </si>
  <si>
    <t>2013-02-27</t>
  </si>
  <si>
    <t>Sustainable Energy Systems in Architectural Design: A Blueprint for Green Building</t>
  </si>
  <si>
    <t>Bionanotechnology: Engineering Concepts and Applications</t>
  </si>
  <si>
    <t>2022-06-27</t>
  </si>
  <si>
    <t>An Introduction to Contemporary Remote Sensing</t>
  </si>
  <si>
    <t>2012-05-01</t>
  </si>
  <si>
    <t>Simulation and Analysis of Modern Power Systems</t>
  </si>
  <si>
    <t>2021-02-19</t>
  </si>
  <si>
    <t>Fundamentals of Microelectromechanical Systems (MEMS)</t>
  </si>
  <si>
    <t>Eun Kim Sok Ph.D.</t>
  </si>
  <si>
    <t>Membrane Bioreactors: WEF Manual of Practice No. 36</t>
  </si>
  <si>
    <t>Schaum's Outline of Engineering Mechanics: Statics</t>
  </si>
  <si>
    <t>Stem Cell Technologies: Basics and Applications</t>
  </si>
  <si>
    <t>Six Sigma Handbook: A Complete Guide for Green Belts, Black Belts, and Managers at All Levels</t>
  </si>
  <si>
    <t>2023-09-21</t>
  </si>
  <si>
    <t>Chemical Technicians' Ready Reference Handbook</t>
  </si>
  <si>
    <t>Jack Ballinger T.</t>
  </si>
  <si>
    <t>2014-04-03</t>
  </si>
  <si>
    <t>Engineering Plastics Handbook</t>
  </si>
  <si>
    <t>James Margolis M.</t>
  </si>
  <si>
    <t>Significant Changes to the International Building Code 2021</t>
  </si>
  <si>
    <t>Douglas Thornburg W.</t>
  </si>
  <si>
    <t>Communication Essentials: The Tools You Need to Master Every Type of Professional Interaction</t>
  </si>
  <si>
    <t>Modeling and Simulation in Biomedical Engineering: Applications in Cardiorespiratory Physiology</t>
  </si>
  <si>
    <t>Willem Meurs van Ph.D.</t>
  </si>
  <si>
    <t>Design of Secure IoT Systems: A Practical Approach Across Industries</t>
  </si>
  <si>
    <t>2021-10-21</t>
  </si>
  <si>
    <t>Project Management for Engineering and Construction: A Life-Cycle Approach</t>
  </si>
  <si>
    <t>Garold Oberlender D. Ph.D. P.E.</t>
  </si>
  <si>
    <t>Computational Fluid Dynamics: An Introduction to Modeling and Applications</t>
  </si>
  <si>
    <t>Business Plans that Work: A Guide for Small Business</t>
  </si>
  <si>
    <t>Schaumâ€™s Outline of Microbiology</t>
  </si>
  <si>
    <t>2012-01-25</t>
  </si>
  <si>
    <t>I. Edward Alcamo Ph.D.</t>
  </si>
  <si>
    <t>Perfect Phrases for Managers and Supervisors</t>
  </si>
  <si>
    <t>Nalco Guide to Boiler Failure Analysis</t>
  </si>
  <si>
    <t>Horizontal Directional Drilling: Utility and Pipeline Applications</t>
  </si>
  <si>
    <t>Create, Share, and Save Money Using Open-Source Projects</t>
  </si>
  <si>
    <t>Joshua Pearce M. Dr.</t>
  </si>
  <si>
    <t>Statistical Process Control Demystified</t>
  </si>
  <si>
    <t>Pitch Anything: An Innovative Method for Presenting, Persuading, and Winning the Deal</t>
  </si>
  <si>
    <t>Environmental Assessment</t>
  </si>
  <si>
    <t>R. Jain K.</t>
  </si>
  <si>
    <t>Solar Power in Building Design: The Engineerâ€™s Complete Design Resource</t>
  </si>
  <si>
    <t>2022-11-22</t>
  </si>
  <si>
    <t>Douglas Erwin L. P.E.</t>
  </si>
  <si>
    <t>2013-08-24</t>
  </si>
  <si>
    <t>5th ed.</t>
  </si>
  <si>
    <t>Mechatronics in Medicine: A Biomedical Engineering Approach</t>
  </si>
  <si>
    <t>3rd edition.</t>
  </si>
  <si>
    <t>2017-11-22</t>
  </si>
  <si>
    <t>Schaum's Outline of Electric Circuits</t>
  </si>
  <si>
    <t>2017-03-25</t>
  </si>
  <si>
    <t>7th edition.</t>
  </si>
  <si>
    <t>Remote Sensing for Biodiversity and Wildlife Management: Synthesis and Applications</t>
  </si>
  <si>
    <t>Steven Franklin E.</t>
  </si>
  <si>
    <t>Energy-Efficient Industrial Systems: Evaluation and Implementation</t>
  </si>
  <si>
    <t>Adaptive Space: How GM and Other Companies Are Positively Disrupting Themselves and Transforming into Agile Organizations</t>
  </si>
  <si>
    <t>2018-08-22</t>
  </si>
  <si>
    <t>Michael Arena J. Ph.D.</t>
  </si>
  <si>
    <t>Practical Hydrogeology: Principles and Field Applications</t>
  </si>
  <si>
    <t>Willis Weight D. Ph.D. P.E.</t>
  </si>
  <si>
    <t>2nd edition</t>
  </si>
  <si>
    <t>2019-01-31</t>
  </si>
  <si>
    <t>4th edition</t>
  </si>
  <si>
    <t>2019-11-28</t>
  </si>
  <si>
    <t>Mackenzie Davis L. Ph.D. P.E. BCEE</t>
  </si>
  <si>
    <t>Electrochemical Energy Storage: Batteries, Fuel Cells, and Hydrogen Technologies</t>
  </si>
  <si>
    <t>2022-06-15</t>
  </si>
  <si>
    <t>2018-05-01</t>
  </si>
  <si>
    <t>Robert Peurifoy L. P.E.</t>
  </si>
  <si>
    <t>Standard Handbook of Environmental Engineering, Second Edition</t>
  </si>
  <si>
    <t>VHDL : Programming By Example, Fourth Edition</t>
  </si>
  <si>
    <t>Carpentry and Construction</t>
  </si>
  <si>
    <t>2016-05-03</t>
  </si>
  <si>
    <t>Schaum's Outline of Physics for Engineering and Science</t>
  </si>
  <si>
    <t>2020-03-24</t>
  </si>
  <si>
    <t>Michael Browne E. PhD</t>
  </si>
  <si>
    <t>Structural Engineering Handbook</t>
  </si>
  <si>
    <t>2020-07-30</t>
  </si>
  <si>
    <t>A DIY Smart Home Guide: Tools for Automating Your Home Monitoring and Security Using Arduino, ESP8266, and Android</t>
  </si>
  <si>
    <t>2020-08-20</t>
  </si>
  <si>
    <t>Airport Systems: Planning, Design, and Management</t>
  </si>
  <si>
    <t>2013-06-06</t>
  </si>
  <si>
    <t>Richard Neufville de Dr.</t>
  </si>
  <si>
    <t>Robert E. Moyer,</t>
  </si>
  <si>
    <t>2017-07-27</t>
  </si>
  <si>
    <t>Jennifer Tanner Eisenhauer Ph.D. P.E.</t>
  </si>
  <si>
    <t>2013-12-27</t>
  </si>
  <si>
    <t>4th ed.</t>
  </si>
  <si>
    <t>Engineering Problem-Solving 101: Time-Tested and Timeless Techniques</t>
  </si>
  <si>
    <t>Robert Messler W. Jr.</t>
  </si>
  <si>
    <t>Digital System Design with FPGA: Implementation Using Verilog and VHDL</t>
  </si>
  <si>
    <t>2017-08-30</t>
  </si>
  <si>
    <t>2013-10-29</t>
  </si>
  <si>
    <t>16th ed. /</t>
  </si>
  <si>
    <t>Green Technologies: For a Better Future</t>
  </si>
  <si>
    <t>Soli Arceivala J.</t>
  </si>
  <si>
    <t>Petroleum Reservoir Modeling and Simulation: Geology, Geostatistics, and Performance Prediction</t>
  </si>
  <si>
    <t>Land Development Handbook: Planning, Engineering, and Surveying, Third Edition</t>
  </si>
  <si>
    <t>CMOS Nanoelectronics: Analog and RF VLSI Circuits</t>
  </si>
  <si>
    <t>Krzysztof Iniewski (Kris) Ph.D.</t>
  </si>
  <si>
    <t>How We Make Stuff Now: Turn Ideas into Products That Build Successful Businesses</t>
  </si>
  <si>
    <t>2020-09-30</t>
  </si>
  <si>
    <t>Energy Efficiency and Management for Engineers</t>
  </si>
  <si>
    <t>Communications Receivers: DSP, Software Radios, and Design, Third Edition</t>
  </si>
  <si>
    <t>Communicating Effectively</t>
  </si>
  <si>
    <t>Perry's Chemical Engineers' Handbook</t>
  </si>
  <si>
    <t>2018-12-24</t>
  </si>
  <si>
    <t>Don Green W. Dr.</t>
  </si>
  <si>
    <t>Strategic KAIZEN: Using Flow, Synchronization, and Leveling [FSL] Assessment to Measure and Strengthen Operational Performance</t>
  </si>
  <si>
    <t>HVAC Licensing Study Guide</t>
  </si>
  <si>
    <t>Torsional Vibration of Turbo-Machinery</t>
  </si>
  <si>
    <t>Duncan Walker N.</t>
  </si>
  <si>
    <t>Handbook of Civil Engineering Calculations, Second Edition</t>
  </si>
  <si>
    <t>3rd ed.</t>
  </si>
  <si>
    <t>Demand Driven Performance: Using Smart Metrics</t>
  </si>
  <si>
    <t>Debra Smith A. CPA EMBA</t>
  </si>
  <si>
    <t>Compressors: How to Achieve High Reliability &amp; Availability</t>
  </si>
  <si>
    <t>2013-04-25</t>
  </si>
  <si>
    <t>Seismic Design of Reinforced Concrete Buildings</t>
  </si>
  <si>
    <t>Wireless Telecommunications Networking with ANSI-41, Second Edition</t>
  </si>
  <si>
    <t>Building with Virtual LEGO: Getting Started with LEGO Digital Designer, LDraw, and Mecabricks</t>
  </si>
  <si>
    <t>2017-02-22</t>
  </si>
  <si>
    <t>Adhesion of Polymers</t>
  </si>
  <si>
    <t>Roman Veselovsky A.</t>
  </si>
  <si>
    <t>5th edition.</t>
  </si>
  <si>
    <t>Fundamentals of Fluid Film Lubrication</t>
  </si>
  <si>
    <t>Mihir Ghosh K. Ph.D.</t>
  </si>
  <si>
    <t>Mobile Communications Engineering: Theory and Applications, Second Edition</t>
  </si>
  <si>
    <t>Manure Pathogens: Manure Management, Regulations, and Water Quality Protection</t>
  </si>
  <si>
    <t>New Articulate Executive: Look, Act and Sound Like a Leader</t>
  </si>
  <si>
    <t>3rd edition</t>
  </si>
  <si>
    <t>Electromagnetic Composites Handbook: Models, Measurement, and Characterization</t>
  </si>
  <si>
    <t>Drilling Engineering: Advanced Applications and Technology</t>
  </si>
  <si>
    <t>Stefan Miska Z.</t>
  </si>
  <si>
    <t>Wireless and Cellular Communications, Third Edition</t>
  </si>
  <si>
    <t>Complete Wireless Design</t>
  </si>
  <si>
    <t>Mackenzie L. Davis, Ph.D., P.E., DEE,</t>
  </si>
  <si>
    <t>McGraw-Hill's National Electrical Safety Code (NESC) 2017 Handbook</t>
  </si>
  <si>
    <t>Building Design for Wind Forces</t>
  </si>
  <si>
    <t>Design of Wood Structuresâ€”ASD/LRFD</t>
  </si>
  <si>
    <t>Donald Breyer E. P.E.</t>
  </si>
  <si>
    <t>Pavement Design: Materials, Analysis, and Highways</t>
  </si>
  <si>
    <t>2020-10-22</t>
  </si>
  <si>
    <t>M. Islam Rashad Ph.D. P.E.</t>
  </si>
  <si>
    <t>Principles of Metal Casting</t>
  </si>
  <si>
    <t>Smart Process Plants Software and Hardware Solutions for Accurate Data and Profitable Operations</t>
  </si>
  <si>
    <t>Miguel Bagajewicz J.</t>
  </si>
  <si>
    <t>Airport Planning &amp; Management</t>
  </si>
  <si>
    <t>Seth Young B. Ph.D.</t>
  </si>
  <si>
    <t>Schaum's Outline of Fluid Mechanics and Hydraulics</t>
  </si>
  <si>
    <t>Ranald Giles V.</t>
  </si>
  <si>
    <t>Modern Control: State-Space Analysis and Design Methods</t>
  </si>
  <si>
    <t>2020-07-24</t>
  </si>
  <si>
    <t>Arie Nakhmani Dr.</t>
  </si>
  <si>
    <t>4th edition.</t>
  </si>
  <si>
    <t>Linden's Handbook of Batteries</t>
  </si>
  <si>
    <t>2019-09-24</t>
  </si>
  <si>
    <t>Kirby Beard W.</t>
  </si>
  <si>
    <t>Signaling System #7, Fifth Edition</t>
  </si>
  <si>
    <t>Through-Silicon Vias for 3D Integration</t>
  </si>
  <si>
    <t>12th ed.</t>
  </si>
  <si>
    <t>Design of Municipal Wastewater Treatment Plants: WEF Manual of Practice No. 8 ASCE Manuals and Reports on Engineering Practice No. 76, Fifth Edition</t>
  </si>
  <si>
    <t>Bringing Out the Best in People: How to Apply the Astonishing Power of Positive Reinforcement</t>
  </si>
  <si>
    <t>2023-09-22</t>
  </si>
  <si>
    <t>Aubrey Daniels C. Ph.D.</t>
  </si>
  <si>
    <t>Reliability of RoHS-Compliant 2D and 3D IC Interconnects</t>
  </si>
  <si>
    <t>John Lau H.</t>
  </si>
  <si>
    <t>American Electricians' Handbook</t>
  </si>
  <si>
    <t>2021-05-18</t>
  </si>
  <si>
    <t>17th Edition</t>
  </si>
  <si>
    <t>One Perfect Pitch: How to Sell Your Idea, Your Product, Your Businessâ€”or Yourself</t>
  </si>
  <si>
    <t>The Product Manager's Survival Guide: Everything You Need to Know to Succeed as a Product Manager</t>
  </si>
  <si>
    <t>Strategic Supply Chain Management: The Five Disciplines for Top Performance</t>
  </si>
  <si>
    <t>Greening Brownfields: Remediation Through Sustainable Development</t>
  </si>
  <si>
    <t>2013-02-26</t>
  </si>
  <si>
    <t>15 Dangerously Mad Projects for the Evil Genius</t>
  </si>
  <si>
    <t>Schaum's Outline of Thermodynamics for Engineers</t>
  </si>
  <si>
    <t>Distillation Control and Optimization: Operation Fundamentals through Software Control</t>
  </si>
  <si>
    <t>Automatic Control Systems</t>
  </si>
  <si>
    <t>Farid Golnaraghi Dr.</t>
  </si>
  <si>
    <t>Robots and Robotics: Principles, Systems, and Industrial Applications</t>
  </si>
  <si>
    <t>Operation of Municipal Wastewater Treatment Plants: MoP No. 11, Sixth Edition</t>
  </si>
  <si>
    <t>Volume Edition</t>
  </si>
  <si>
    <t>Organic Chemistry</t>
  </si>
  <si>
    <t>Daniel Bloch R.</t>
  </si>
  <si>
    <t>Entropy Theory in Hydrologic Science and Engineering</t>
  </si>
  <si>
    <t>Vijay Singh P. Ph.D. D.Sc. D.Eng. (Hon.) Ph.D. (Hon.) P.E. P.H. Hon.D.WRE</t>
  </si>
  <si>
    <t>Charge Pump IC Design</t>
  </si>
  <si>
    <t>Hands-On PLC Programming with RSLogix 500 and LogixProÂ®</t>
  </si>
  <si>
    <t>2016-11-21</t>
  </si>
  <si>
    <t>Eman Kamel Dr.</t>
  </si>
  <si>
    <t>Schaum's Outline of Biology</t>
  </si>
  <si>
    <t>George Fried H. Ph.D.</t>
  </si>
  <si>
    <t>Airport Operations</t>
  </si>
  <si>
    <t>Norman Ashford J.</t>
  </si>
  <si>
    <t>Expanders for Oil and Gas Operations: Design, Applications, and Troubleshooting</t>
  </si>
  <si>
    <t>Murari Singh P. Ph.D.</t>
  </si>
  <si>
    <t>Electronic Troubleshooting</t>
  </si>
  <si>
    <t>Daniel Tomal R. Ph.D.</t>
  </si>
  <si>
    <t>Marks' Standard Handbook for Mechanical Engineers</t>
  </si>
  <si>
    <t>Ali Sadegh M. Ph.D.</t>
  </si>
  <si>
    <t>Standard Handbook for Civil Engineers</t>
  </si>
  <si>
    <t>Electrical Power Systems Quality</t>
  </si>
  <si>
    <t>2012-10-09</t>
  </si>
  <si>
    <t>Slurry Systems Handbook</t>
  </si>
  <si>
    <t>2021-06-25</t>
  </si>
  <si>
    <t>Internal Combustion Engine Fundamentals</t>
  </si>
  <si>
    <t>2018-06-29</t>
  </si>
  <si>
    <t>John Heywood B.</t>
  </si>
  <si>
    <t>2017-09-21</t>
  </si>
  <si>
    <t>DIY Drones for the Evil Genius: Design, Build, and Customize Your Own Drones</t>
  </si>
  <si>
    <t>Vibrational Spectroscopic Imaging for Biomedical Applications</t>
  </si>
  <si>
    <t>Lean Supply Chain and Logistics Management</t>
  </si>
  <si>
    <t>Land Development Calculations: Interactive Tools and Techniques for Site Planning, Analysis, and Design, Second Edition</t>
  </si>
  <si>
    <t>Dave Adams K. S.E.</t>
  </si>
  <si>
    <t>Manager's Guide to Business Writing</t>
  </si>
  <si>
    <t>Suzanne FitzGerald Sparks</t>
  </si>
  <si>
    <t>Design for Advanced Manufacturing: Technologies and Processes</t>
  </si>
  <si>
    <t>LaRoux Gillespie K.</t>
  </si>
  <si>
    <t>Time Management</t>
  </si>
  <si>
    <t>Closed Feedwater Heaters for Power Generation: A Working Guide</t>
  </si>
  <si>
    <t>HVAC Design Sourcebook</t>
  </si>
  <si>
    <t>2020-09-29</t>
  </si>
  <si>
    <t>W. Angel Larsen P.E. LEED AP</t>
  </si>
  <si>
    <t>Power Electronics Step-by-Step: Design, Modeling, Simulation, and Control</t>
  </si>
  <si>
    <t>2021-04-24</t>
  </si>
  <si>
    <t>Cem Ăśnsalan, Ph.D.,</t>
  </si>
  <si>
    <t>Standard Handbook for Aerospace Engineers</t>
  </si>
  <si>
    <t>2017-05-21</t>
  </si>
  <si>
    <t>Brij Agrawal N. Dr.</t>
  </si>
  <si>
    <t>Advanced MEMS Packaging</t>
  </si>
  <si>
    <t>John Lau H. Ph.D. P.E.</t>
  </si>
  <si>
    <t>Stephen Cusick K. J.D.</t>
  </si>
  <si>
    <t>Nalco Water Handbook</t>
  </si>
  <si>
    <t>2017-03-27</t>
  </si>
  <si>
    <t>Global Supply Chains: Evaluating Regions on an EPIC Frameworkâ€”Economy, Politics, Infrastructure, and Competence</t>
  </si>
  <si>
    <t>Mandyam Srinivasan M. (Srini) Ph.D.</t>
  </si>
  <si>
    <t>1st edition.</t>
  </si>
  <si>
    <t>Principles of Biofuels and Hydrogen Gas: Production and Engine Performance</t>
  </si>
  <si>
    <t>Construction Practices for Land Development: A Field Guide for Civil Engineers</t>
  </si>
  <si>
    <t>2019-07-24</t>
  </si>
  <si>
    <t>Analog Integrated Circuit Design by Simulation: Techniques, Tools, and Methods</t>
  </si>
  <si>
    <t>2019-06-03</t>
  </si>
  <si>
    <t>2018 International Existing Building Code Handbook</t>
  </si>
  <si>
    <t>Design of Wood Structures-ASD/LRFD, Sixth Edition</t>
  </si>
  <si>
    <t>Handbook of Environmental Engineering</t>
  </si>
  <si>
    <t>Rao Surampalli Y. Ph.D. P.E. BCEE Dist.M.ASCE</t>
  </si>
  <si>
    <t>Master Handbook of Acoustics, Fourth Edition</t>
  </si>
  <si>
    <t>Schaumâ€™s Outline of Engineering Mechanics Dynamics</t>
  </si>
  <si>
    <t>2011-07-27</t>
  </si>
  <si>
    <t>Schaumâ€™s Edition</t>
  </si>
  <si>
    <t>Build Your Own Transistor Radios: A Hobbyist's Guide to High-Performance and Low-Powered Radio Circuits</t>
  </si>
  <si>
    <t>Maintenance Planning and Scheduling Handbook</t>
  </si>
  <si>
    <t>Richard Palmer D. PE MBA CMRP</t>
  </si>
  <si>
    <t>What is Six Sigma Process Management?</t>
  </si>
  <si>
    <t>Optofluidics: Fundamentals, Devices, and Applications</t>
  </si>
  <si>
    <t>Biomedical Engineering and Design Handbook, Volume 1</t>
  </si>
  <si>
    <t>16th ed.</t>
  </si>
  <si>
    <t>2016-03-26</t>
  </si>
  <si>
    <t>APICS/CPIM Certification edition.</t>
  </si>
  <si>
    <t>Energy Systems Engineering: Evaluation and Implementation</t>
  </si>
  <si>
    <t>Francis Vanek M. Ph.D.</t>
  </si>
  <si>
    <t>Dynamic Analysis of Skeletal Structures: Force and Displacement Methods and Iterative Techniques</t>
  </si>
  <si>
    <t>J. Elliott Richard PhD</t>
  </si>
  <si>
    <t>Maynardâ€™s Industrial Engineering Handbook</t>
  </si>
  <si>
    <t>Kjell Zandin B.</t>
  </si>
  <si>
    <t>2012-11-09</t>
  </si>
  <si>
    <t>Biomedical Engineering Fundamentals</t>
  </si>
  <si>
    <t>2021-06-26</t>
  </si>
  <si>
    <t>Microchip Fabrication: A Practical Guide to Semiconductor Processing, Fifth Edition</t>
  </si>
  <si>
    <t>CNC Handbook</t>
  </si>
  <si>
    <t>2013-07-29</t>
  </si>
  <si>
    <t>Hans Kief B.</t>
  </si>
  <si>
    <t>Entrepreneur's Book of Actions: Essential Daily Exercises and Habits for Becoming Wealthier, Smarter, and More Successful</t>
  </si>
  <si>
    <t>One Simple Idea, Revised and Expanded Edition: Turn Your Dreams into a Licensing Goldmine While Letting Others Do the Work</t>
  </si>
  <si>
    <t>Concrete: Microstructure, Properties, and Materials</t>
  </si>
  <si>
    <t>P. Mehta Kumar Ph.D.</t>
  </si>
  <si>
    <t>Maintenance Engineering Handbook, Seventh Edition</t>
  </si>
  <si>
    <t>Seventh Edition</t>
  </si>
  <si>
    <t>Sixth edition.</t>
  </si>
  <si>
    <t>Elements of Photogrammetry with Applications in GIS</t>
  </si>
  <si>
    <t>Paul Wolf R. Ph.D.</t>
  </si>
  <si>
    <t>Schaum's Outline of Geometry</t>
  </si>
  <si>
    <t>Handbook of Adhesives and Sealants</t>
  </si>
  <si>
    <t>Edward Petrie M.</t>
  </si>
  <si>
    <t>Antennas for Base Stations in Wireless Communications</t>
  </si>
  <si>
    <t>Zhi Chen Ning</t>
  </si>
  <si>
    <t>Structural Engineering Formulas</t>
  </si>
  <si>
    <t>Thomas Shoemaker M.</t>
  </si>
  <si>
    <t>13th Edition</t>
  </si>
  <si>
    <t>Programmable Microcontrollers: Applications on the MSP432 LaunchPad</t>
  </si>
  <si>
    <t>Handbook of Hydraulics</t>
  </si>
  <si>
    <t>James Lindell E.</t>
  </si>
  <si>
    <t>Programming the Intel Edison: Getting Started with Processing and Python</t>
  </si>
  <si>
    <t>2015-12-23</t>
  </si>
  <si>
    <t>3D Printer Projects for Makerspaces</t>
  </si>
  <si>
    <t>Metal Building Systems: Design and Specifications, Second Edition</t>
  </si>
  <si>
    <t>Tall and Supertall Buildings: Planning and Design</t>
  </si>
  <si>
    <t>Schaum's Outline of Human Anatomy and Physiology</t>
  </si>
  <si>
    <t>Kent Graaff M. Van de The late</t>
  </si>
  <si>
    <t>Handbook of Project-based Management: Leading Strategic Change in Organizations</t>
  </si>
  <si>
    <t>Raspberry PiÂ® Electronics Projects for the Evil Genius</t>
  </si>
  <si>
    <t>Handbook of Nondestructive Evaluation</t>
  </si>
  <si>
    <t>Charles Hellier J.</t>
  </si>
  <si>
    <t>James Speight G. Dr.</t>
  </si>
  <si>
    <t>Civil Engineering PE All-in-One Exam Guide: Breadth and Depth</t>
  </si>
  <si>
    <t>2020-11-27</t>
  </si>
  <si>
    <t>Aircraft Powerplants</t>
  </si>
  <si>
    <t>Foundation Engineering Handbook: Design and Construction with the 2009 International Building Code</t>
  </si>
  <si>
    <t>Applied Cell and Molecular Biology for Engineers</t>
  </si>
  <si>
    <t>Gabi Waite Nindle</t>
  </si>
  <si>
    <t>Membrane Systems for Wastewater Treatment</t>
  </si>
  <si>
    <t>Computer-Aided Drug Design and Delivery Systems</t>
  </si>
  <si>
    <t>Fracturing Horizontal Wells</t>
  </si>
  <si>
    <t>Mohamed Soliman Y. Ph.D. P.E. NAI</t>
  </si>
  <si>
    <t>Reservoir Engineering Models: Analytical and Numerical Approaches</t>
  </si>
  <si>
    <t>Lange's Handbook of Chemistry</t>
  </si>
  <si>
    <t>2016-12-09</t>
  </si>
  <si>
    <t>Oil Spills and Gas Leaks: Environmental Response, Prevention, and Cost Recovery</t>
  </si>
  <si>
    <t>Stephen Testa M.</t>
  </si>
  <si>
    <t>TAB Book of Arduino Projects: 36 Things to Make with Shields and Protoshields</t>
  </si>
  <si>
    <t>CPM in Construction Management</t>
  </si>
  <si>
    <t>James O'Brien J. P.E. PMP CVS</t>
  </si>
  <si>
    <t>Foundations and Strategies for Medical Device Design</t>
  </si>
  <si>
    <t>Arduino + Android Projects for the Evil Genius: Control Arduino with Your Smartphone or Tablet</t>
  </si>
  <si>
    <t>Aviation Maintenance Management</t>
  </si>
  <si>
    <t>Harry Kinnison A. Ph.D.</t>
  </si>
  <si>
    <t>Practical Electronic Design for Experimenters</t>
  </si>
  <si>
    <t>2020-08-18</t>
  </si>
  <si>
    <t>Louis Frenzel E. Jr.</t>
  </si>
  <si>
    <t>Manager's Guide to Navigating Change</t>
  </si>
  <si>
    <t>McGraw-Hill's Guide to UK Wiring Standards for Earthing &amp; Bonding</t>
  </si>
  <si>
    <t>Presentation Skills For Managers</t>
  </si>
  <si>
    <t>Boiler Operator's Guide</t>
  </si>
  <si>
    <t>2021-09-27</t>
  </si>
  <si>
    <t>Toyota Way to Lean Leadership: Achieving and Sustaining Excellence through Leadership Development</t>
  </si>
  <si>
    <t>Modern Completion Technology for Oil and Gas Wells</t>
  </si>
  <si>
    <t>2018-07-19</t>
  </si>
  <si>
    <t>30 BeagleBone Black Projects for the Evil Genius</t>
  </si>
  <si>
    <t>Materials for Civil Engineering: Properties and Applications in Infrastructure</t>
  </si>
  <si>
    <t>Luke Lee S. Ph.D. P.E.</t>
  </si>
  <si>
    <t>Schaum's Outline of Statistics</t>
  </si>
  <si>
    <t>Murray Spiegel R. The late Dr.</t>
  </si>
  <si>
    <t>Geotechnical Earthquake Engineering Handbook: With the 2012 International Building Code</t>
  </si>
  <si>
    <t>Power Plant Stability, Capacitors, and Grounding: Numerical Solutions</t>
  </si>
  <si>
    <t>Orlando Acosta N. MSEE</t>
  </si>
  <si>
    <t>Industrial Automation: Hands-On</t>
  </si>
  <si>
    <t>Public Infrastructure Asset Management</t>
  </si>
  <si>
    <t>Telecommunications Crash Course</t>
  </si>
  <si>
    <t>Advanced Signal Processing: A Concise Guide</t>
  </si>
  <si>
    <t>2020-10-24</t>
  </si>
  <si>
    <t>McGraw-Hill's National Electrical Safety Code (NESC) 2012 Handbook</t>
  </si>
  <si>
    <t>Arduino Projects for Amateur Radio</t>
  </si>
  <si>
    <t>Jack Purdum W8TEE Dr.</t>
  </si>
  <si>
    <t>Performance and Security for the Internet of Things: Emerging Wireless Technologies</t>
  </si>
  <si>
    <t>Introduction to Synthetic Aperture Radar: Concepts and Practice</t>
  </si>
  <si>
    <t>E. Jansing David Ph.D.</t>
  </si>
  <si>
    <t>Erian Baskharone A. Ph.D.</t>
  </si>
  <si>
    <t>Troubleshooting and Repairing Major Appliances</t>
  </si>
  <si>
    <t>Water and Wastewater Calculations Manual</t>
  </si>
  <si>
    <t>Shun Lin Dar Ph.D.</t>
  </si>
  <si>
    <t>Handbook of Project-Based Management: Leading Strategic Change in Organizations</t>
  </si>
  <si>
    <t>Build Your Own Quadcopter: Power Up Your Designs with the Parallax Elev-8</t>
  </si>
  <si>
    <t>Optical Systems Engineering</t>
  </si>
  <si>
    <t>Keith Kasunic J. Ph.D.</t>
  </si>
  <si>
    <t>Quality Improvement Through Planned Experimentation</t>
  </si>
  <si>
    <t>Ronald Moen D.</t>
  </si>
  <si>
    <t>Electrical Safety Handbook</t>
  </si>
  <si>
    <t>Dennis Neitzel K. C.P.E. C.E.S.C.P.</t>
  </si>
  <si>
    <t>Printed Circuits Handbook</t>
  </si>
  <si>
    <t>Business Data Science: Combining Machine Learning and Economics to Optimize, Automate, and Accelerate Business Decisions</t>
  </si>
  <si>
    <t>2023-06-21</t>
  </si>
  <si>
    <t>Cross-Laminated Timber Design: Structural Properties, Standards, and Safety</t>
  </si>
  <si>
    <t>2020-07-22</t>
  </si>
  <si>
    <t>Schaum's Outline of Probability and Statistics</t>
  </si>
  <si>
    <t>Murray Spiegel R.</t>
  </si>
  <si>
    <t>VLSI Analog Circuits: Algorithms, Architecture, Modeling, and Circuit Implementation</t>
  </si>
  <si>
    <t>Pressure Vessels: The ASME Code Simplified</t>
  </si>
  <si>
    <t>Robert Stricker F. P.E.</t>
  </si>
  <si>
    <t>Aircraft Basic Science</t>
  </si>
  <si>
    <t>Michael Kroes J.</t>
  </si>
  <si>
    <t>Steel Structures Design for Lateral and Vertical Forces</t>
  </si>
  <si>
    <t>Design of Water Resource Recovery Facilities</t>
  </si>
  <si>
    <t>2018-02-01</t>
  </si>
  <si>
    <t>Land Development Handbook</t>
  </si>
  <si>
    <t>Programming the BBC micro:bit: Getting Started with MicroPython</t>
  </si>
  <si>
    <t>Smart Grid Infrastructure &amp; Networking</t>
  </si>
  <si>
    <t>McGraw-Hill's National Electrical Code 2017 Handbook</t>
  </si>
  <si>
    <t>29th Edition</t>
  </si>
  <si>
    <t>Fundamentals of Device and Systems Packaging: Technologies and Applications</t>
  </si>
  <si>
    <t>2019-10-24</t>
  </si>
  <si>
    <t>Rao Tummala R. Dr.</t>
  </si>
  <si>
    <t>2014-12-10</t>
  </si>
  <si>
    <t>Build Your Own PC on a Budget: A DIY Guide for Hobbyists and Gamers</t>
  </si>
  <si>
    <t>John Mueller Paul</t>
  </si>
  <si>
    <t>Structural Load Determination: 2018 IBC and ASCE/SEI 7-16</t>
  </si>
  <si>
    <t>2018-11-28</t>
  </si>
  <si>
    <t>Fabrication and Application of Nanomaterials</t>
  </si>
  <si>
    <t>Handbook for Building Construction: Administration, Materials, Systems, and Safety</t>
  </si>
  <si>
    <t>Clifford Schexnayder J. P.E. Ph.D.</t>
  </si>
  <si>
    <t>LTE Signaling with Diameter</t>
  </si>
  <si>
    <t>Schaum's Outline: Mathematical Handbook of Formulas and Tables</t>
  </si>
  <si>
    <t>2020-02-27</t>
  </si>
  <si>
    <t>Schaum's Outline of Precalculus</t>
  </si>
  <si>
    <t>2020-03-31</t>
  </si>
  <si>
    <t>Tanmay Teaches Julia for Beginners: A Springboard to Machine Learning for All Ages</t>
  </si>
  <si>
    <t>The Internet of Things: Do-It-Yourself at Home Projects for Arduino, Raspberry Pi, and BeagleBone Black</t>
  </si>
  <si>
    <t>Manufacturing Planning and Control for Supply Chain Management: The CPIM Reference</t>
  </si>
  <si>
    <t>2018-08-16</t>
  </si>
  <si>
    <t>F. Jacobs Robert</t>
  </si>
  <si>
    <t>How to Implement Lean Manufacturing</t>
  </si>
  <si>
    <t>Antenna Engineering Handbook</t>
  </si>
  <si>
    <t>John Volakis L.</t>
  </si>
  <si>
    <t>Big Book of Makerspace Projects: Inspiring Makers to Experiment, Create, and Learn</t>
  </si>
  <si>
    <t>2016-12-08</t>
  </si>
  <si>
    <t>Lean Strategy: Using Lean to Create Competitive Advantage, Unleash Innovation, and Deliver Sustainable Growth</t>
  </si>
  <si>
    <t>Michael BallĂ© Dr.</t>
  </si>
  <si>
    <t>LabVIEW Graphical Programming</t>
  </si>
  <si>
    <t>2019-12-24</t>
  </si>
  <si>
    <t>Masonry Design and Detailing</t>
  </si>
  <si>
    <t>Essential Deming: Leadership Principles from the Father of Quality</t>
  </si>
  <si>
    <t>JOYCE ORSINI NILSSON PhD</t>
  </si>
  <si>
    <t>Fundamentals of Industrial Instrumentation and Process Control</t>
  </si>
  <si>
    <t>2018-09-26</t>
  </si>
  <si>
    <t>William Dunn C.</t>
  </si>
  <si>
    <t>Wastewater Treatment Process Modeling, MOP31</t>
  </si>
  <si>
    <t>Introduction to the Finite Element Method</t>
  </si>
  <si>
    <t>2018-12-21</t>
  </si>
  <si>
    <t>J. Reddy N. Ph.D.</t>
  </si>
  <si>
    <t>Troubleshooting and Repairing Diesel Engines</t>
  </si>
  <si>
    <t>Target Funding: A Proven System to Get the Money &amp; Resources You Need to Start or Grow Your Business</t>
  </si>
  <si>
    <t>Digital Logic Design and Computer Organization: With Computer Architecture for Security</t>
  </si>
  <si>
    <t>Toyota Engagement Equation: How to Understand and Implement Continuous Improvement Thinking in Any Organization</t>
  </si>
  <si>
    <t>2018-10-27</t>
  </si>
  <si>
    <t>Strategic Continuous Process Improvement: Which Quality Tools to Use and When to Use Them</t>
  </si>
  <si>
    <t>Gerhard Plenert Ph.D. CPIM</t>
  </si>
  <si>
    <t>Arduino Robot Bonanza</t>
  </si>
  <si>
    <t>Signaling System #7</t>
  </si>
  <si>
    <t>2015-02-02</t>
  </si>
  <si>
    <t>Applied Machine Learning</t>
  </si>
  <si>
    <t>2019-08-22</t>
  </si>
  <si>
    <t>Structural Renovation of Buildings: Methods, Details, and Design Examples</t>
  </si>
  <si>
    <t>Bridge Engineering: Design, Rehabilitation, and Maintenance of Modern Highway Bridges</t>
  </si>
  <si>
    <t>Jim Zhao J. Ph.D. P.E. F.ASCE</t>
  </si>
  <si>
    <t>Troubleshooting Electronic Circuits: A Guide to Learning Analog Electronics</t>
  </si>
  <si>
    <t>Fundamentals of 5G Communications: Connectivity for Enhanced Mobile Broadband and Beyond</t>
  </si>
  <si>
    <t>2021-10-29</t>
  </si>
  <si>
    <t>Double-Walled Piping: A Handbook for the Petroleum and Petrochemical Industry</t>
  </si>
  <si>
    <t>2019-05-31</t>
  </si>
  <si>
    <t>Christopher Ziu G.</t>
  </si>
  <si>
    <t>Machine Tools: Specification, Purchase, and Installation</t>
  </si>
  <si>
    <t>Steam Plant Operation</t>
  </si>
  <si>
    <t>2016-12-23</t>
  </si>
  <si>
    <t>Everett Woodruff B.</t>
  </si>
  <si>
    <t>Geometric Dimensioning and Tolerancing for Mechanical Design</t>
  </si>
  <si>
    <t>Gene Cogorno R.</t>
  </si>
  <si>
    <t>End-to-End Mobile Communications: Evolution to 5G</t>
  </si>
  <si>
    <t>2020-10-23</t>
  </si>
  <si>
    <t>Syed Husain S. M.Sc.</t>
  </si>
  <si>
    <t>Valve Handbook</t>
  </si>
  <si>
    <t>2012-12-13</t>
  </si>
  <si>
    <t>Philip Skousen L.</t>
  </si>
  <si>
    <t>Industrial Electricity and Motor Controls</t>
  </si>
  <si>
    <t>2020-12-18</t>
  </si>
  <si>
    <t>Engineering Hydrology: An Introduction to Processes, Analysis, and Modeling</t>
  </si>
  <si>
    <t>2019-05-09</t>
  </si>
  <si>
    <t>Sharad Jain K. Ph.D.</t>
  </si>
  <si>
    <t>Standard Handbook for Electrical Engineers</t>
  </si>
  <si>
    <t>Fail More: Embrace, Learn, and Adapt to Failure as a Way to Success</t>
  </si>
  <si>
    <t>Computer Systems: An Embedded Approach</t>
  </si>
  <si>
    <t>Ian McLoughlin Vince</t>
  </si>
  <si>
    <t>Process Improvement Handbook: A Blueprint for Managing Change and Increasing Organizational Performance</t>
  </si>
  <si>
    <t>2015 International Building CodeÂ® Illustrated Handbook</t>
  </si>
  <si>
    <t>2015-10-29</t>
  </si>
  <si>
    <t>Douglas Thornburg W. AIA C.B.O.</t>
  </si>
  <si>
    <t>Law for Professional Engineers: Canadian and Global Insights</t>
  </si>
  <si>
    <t>2019-05-06</t>
  </si>
  <si>
    <t>Donald Marston L. J.D. P.Eng.</t>
  </si>
  <si>
    <t>Making Things Move: DIY Mechanisms for Inventors, Hobbyists, and Artists</t>
  </si>
  <si>
    <t>McGraw-Hill 36-Hour Course: Lean Six Sigma</t>
  </si>
  <si>
    <t>Geothermal HVAC: Green Heating and Cooling</t>
  </si>
  <si>
    <t>Six Sigma for Sustainability: How Organizations Design and Deploy Winning Environmental Programs</t>
  </si>
  <si>
    <t>Project Manager's Portable Handbook</t>
  </si>
  <si>
    <t>David Cleland I. Ph.D.</t>
  </si>
  <si>
    <t>Structural Steel Designer's Handbook</t>
  </si>
  <si>
    <t>Roger Brockenbrough L. P.E. F.ASCE</t>
  </si>
  <si>
    <t>Lean Six Sigma in the Age of Artificial Intelligence: Harnessing the Power of the Fourth Industrial Revolution</t>
  </si>
  <si>
    <t>Michael George L. Sr.</t>
  </si>
  <si>
    <t>Alternative Energy DeMYSTiFieD</t>
  </si>
  <si>
    <t>2013-08-20</t>
  </si>
  <si>
    <t>Sustainable Transportation Systems Engineering</t>
  </si>
  <si>
    <t>Transportation Engineering: A Practical Approach to Highway Design, Traffic Analysis, and Systems Operations</t>
  </si>
  <si>
    <t>Beverly Kuhn Thompson Ph.D. P.E. PMP</t>
  </si>
  <si>
    <t>Structural Design of Low-Rise Buildings in Cold-Formed Steel, Reinforced Masonry, and Structural Timber</t>
  </si>
  <si>
    <t>2014-08-14</t>
  </si>
  <si>
    <t>J. Mujagic R. Ubejd Ph.D. P.E. S.E.</t>
  </si>
  <si>
    <t>Programming the BeagleBone Black: Getting Started with JavaScript and BoneScript</t>
  </si>
  <si>
    <t>Simon Monk (Preston, UK) Dr.</t>
  </si>
  <si>
    <t>Earthquake Engineering: Theory and Implementation with the 2015 International Building Code</t>
  </si>
  <si>
    <t>Nazzal Armouti S. Ph.D. P.E.</t>
  </si>
  <si>
    <t>Strategic Lean Mapping: Blending Improvement Processes for the Perfect Solution</t>
  </si>
  <si>
    <t>Development of the Built Environment: From Site Acquisition to Project Completion</t>
  </si>
  <si>
    <t>SketchUp for Civil Engineering and Heavy Construction: Modeling Workflow and Problem Solving for Design and Construction</t>
  </si>
  <si>
    <t>Vladimir Simonovski F. M.Sc.</t>
  </si>
  <si>
    <t>Structural Fire Loads: Theory and Principles</t>
  </si>
  <si>
    <t>Schaum's Outline of Trigonometry</t>
  </si>
  <si>
    <t>2019-02-01</t>
  </si>
  <si>
    <t>Robert Moyer E. Ph.D.</t>
  </si>
  <si>
    <t>Materials and Manufacturing: An Introduction to How They Work and Why It Matters</t>
  </si>
  <si>
    <t>Mark Atwater A. Ph.D.</t>
  </si>
  <si>
    <t>Electronics from the Ground Up: Learn by Hacking, Designing, and Inventing</t>
  </si>
  <si>
    <t>Failure Analysis of Wood and Wood-Based Products</t>
  </si>
  <si>
    <t>Handbook of Civil Engineering Calculations</t>
  </si>
  <si>
    <t>Raspberry PiÂ® Projects for the Evil Genius</t>
  </si>
  <si>
    <t>Integrated Wireless Propagation Models</t>
  </si>
  <si>
    <t>William Lee C. Y. Ph.D.</t>
  </si>
  <si>
    <t>Handbook of Structural Steel Connection Design and Details</t>
  </si>
  <si>
    <t>2021-06-30</t>
  </si>
  <si>
    <t>Akbar Tamboli R. P.E. F.ASCE</t>
  </si>
  <si>
    <t>2020-08-26</t>
  </si>
  <si>
    <t>Caye Drapcho M. Ph.D.</t>
  </si>
  <si>
    <t>20 Makey Makey Projects for the Evil Genius</t>
  </si>
  <si>
    <t>Sustainable Thermal Storage Systems: Planning, Design, and Operations</t>
  </si>
  <si>
    <t>2013-07-22</t>
  </si>
  <si>
    <t>Lucas Hyman B. P.E. LEED-AP</t>
  </si>
  <si>
    <t>2012 International Building CodeÂ® Handbook</t>
  </si>
  <si>
    <t>Cardiovascular Engineering: A Protective Approach</t>
  </si>
  <si>
    <t>Shu Liu Q.</t>
  </si>
  <si>
    <t>Commercial Building Construction: Materials and Methods</t>
  </si>
  <si>
    <t>David Madsen A.</t>
  </si>
  <si>
    <t>Moving the Earth: Excavation Equipment, Methods, Safety, and Cost</t>
  </si>
  <si>
    <t>Robert Schmitt L. P.E.</t>
  </si>
  <si>
    <t>Roark's Formulas for Stress and Strain</t>
  </si>
  <si>
    <t>2020-06-29</t>
  </si>
  <si>
    <t>Richard Budynas G.</t>
  </si>
  <si>
    <t>Lean Six Sigma for Hospitals: Improving Patient Safety, Patient Flow, and the Bottom Line</t>
  </si>
  <si>
    <t>2016-02-24</t>
  </si>
  <si>
    <t>Schaum's Outline of Signals and Systems</t>
  </si>
  <si>
    <t>Facilities Site Piping Systems Handbook</t>
  </si>
  <si>
    <t>Process Equipment Malfunctions: Techniques to Identify and Correct Plant Problems</t>
  </si>
  <si>
    <t>Schaum's Outline of College Chemistry</t>
  </si>
  <si>
    <t>Jerome Rosenberg L.</t>
  </si>
  <si>
    <t>Six Sigma for Managers</t>
  </si>
  <si>
    <t>Green Electrical Energy Storage: Science and Finance for Total Fossil Fuel Substitution</t>
  </si>
  <si>
    <t>Hacking Electronics: Learning Electronics with Arduino and Raspberry Pi</t>
  </si>
  <si>
    <t>Working Guide to Process Equipment</t>
  </si>
  <si>
    <t>2014-07-12</t>
  </si>
  <si>
    <t>2014-11-21</t>
  </si>
  <si>
    <t>HVAC: Equations, Data, and Rules of Thumb, Second Edition</t>
  </si>
  <si>
    <t>2012-12-19</t>
  </si>
  <si>
    <t>8th ed. /</t>
  </si>
  <si>
    <t>Antenna Engineering Handbook, Fourth Edition</t>
  </si>
  <si>
    <t>Sustainable On-Site CHP Systems: Design, Construction, and Operations</t>
  </si>
  <si>
    <t>2013-03-26</t>
  </si>
  <si>
    <t>Jim J. Zhao,</t>
  </si>
  <si>
    <t>John Cadick, P.E.,</t>
  </si>
  <si>
    <t>What Every Angel Investor Wants You to Know: An Insider Reveals How to Get Smart Funding for Your Billion-Dollar Idea</t>
  </si>
  <si>
    <t>BRIAN COHEN S.</t>
  </si>
  <si>
    <t>Pressure Vessels: The ASME Code Simplified, Eighth Edition</t>
  </si>
  <si>
    <t>Eighth Edition</t>
  </si>
  <si>
    <t>2011-12-30</t>
  </si>
  <si>
    <t>Barnett Rich,</t>
  </si>
  <si>
    <t>Biomedical Applications of Light Scattering</t>
  </si>
  <si>
    <t>Schaumâ€™s Outline of Differential Equations, Third Edition</t>
  </si>
  <si>
    <t>Mahmoud El-Din Galal</t>
  </si>
  <si>
    <t>2012-11-27</t>
  </si>
  <si>
    <t>Entrepreneurial Finance, Third Edition: Finance and Business Strategies for the Serious Entrepreneur</t>
  </si>
  <si>
    <t>Big Fish Experience: Create Memorable Presentations That Reel In Your Audience</t>
  </si>
  <si>
    <t>Handbook of Petroleum Refining Processes, Third Edition</t>
  </si>
  <si>
    <t>CPM in Construction Management, Seventh Edition</t>
  </si>
  <si>
    <t>Schaumâ€™s Outline of Engineering Mechanics: Statics</t>
  </si>
  <si>
    <t>Spread Spectrum Communications Handbook, Electronic Edition</t>
  </si>
  <si>
    <t>Electronic Edition</t>
  </si>
  <si>
    <t>Finance for Non-Financial Managers</t>
  </si>
  <si>
    <t>2014-12-07</t>
  </si>
  <si>
    <t>Handbook of Structural Steel Connection Design and Details, Second Edition</t>
  </si>
  <si>
    <t>Production Systems Engineering: Cost and Performance Optimization</t>
  </si>
  <si>
    <t>Richard Gustavson E.</t>
  </si>
  <si>
    <t>Chalcogenide Glasses for Infrared Optics</t>
  </si>
  <si>
    <t>A. Hilton Ray</t>
  </si>
  <si>
    <t>2018-05-21</t>
  </si>
  <si>
    <t>Handbook of Electric Power Calculations, Third Edition</t>
  </si>
  <si>
    <t>Nalco Water Handbook, Third Edition</t>
  </si>
  <si>
    <t>Project Management for Engineering and Construction</t>
  </si>
  <si>
    <t>2014-12-17</t>
  </si>
  <si>
    <t>Alternative Sewer Systems FD-12</t>
  </si>
  <si>
    <t>9th ed.</t>
  </si>
  <si>
    <t>Process/Industrial Instruments and Controls Handbook, Fifth Edition</t>
  </si>
  <si>
    <t>Gregory Edition</t>
  </si>
  <si>
    <t>Water Well Rehabilitation and Reconstruction</t>
  </si>
  <si>
    <t>Optical Waveguide Modes: Polarization, Coupling and Symmetry</t>
  </si>
  <si>
    <t>Richard Black J.</t>
  </si>
  <si>
    <t>Schaum's Outline of Strength of Materials, Fifth Edition</t>
  </si>
  <si>
    <t>Biomedical Engineering and Design Handbook, Volume 2</t>
  </si>
  <si>
    <t>7th ed.</t>
  </si>
  <si>
    <t>Supply Chain Strategy: Unleash the Power of Business Integration to Maximize Financial, Service, and Operations Performance</t>
  </si>
  <si>
    <t>Edward Frazelle H. Ph.D.</t>
  </si>
  <si>
    <t>Electrical Design of Overhead Power Transmission Lines</t>
  </si>
  <si>
    <t>Lean Six Sigma for Supply Chain Management: A 10-Step Solution Process</t>
  </si>
  <si>
    <t>James Martin William</t>
  </si>
  <si>
    <t>Power Over Ethernet Interoperability</t>
  </si>
  <si>
    <t>Six Sigma Handbook</t>
  </si>
  <si>
    <t>Digital Supply Networks: Transform Your Supply Chain and Gain Competitive Advantage with Disruptive Technology and Reimagined Processes</t>
  </si>
  <si>
    <t>Automation of Wastewater Treatment Facilities - WEF MoP 21, Third Edition</t>
  </si>
  <si>
    <t>Nanobiophotonics</t>
  </si>
  <si>
    <t>Structural Steel Designer's Handbook: AISC, AASHTO, AISI, ASTM, AREMA, and ASCE-07 Design Standards, Fourth Edition</t>
  </si>
  <si>
    <t>Project Management in Construction, Fifth Edition</t>
  </si>
  <si>
    <t>Nanostructuring Operations in Nanoscale Science and Engineering</t>
  </si>
  <si>
    <t>2012-10-04</t>
  </si>
  <si>
    <t>Applied Software Measurement</t>
  </si>
  <si>
    <t>Running Small Motors with PIC Microcontrollers</t>
  </si>
  <si>
    <t>Intersubband Transitions In Quantum Structures</t>
  </si>
  <si>
    <t>Secrets of RF Circuit Design , Third Edition</t>
  </si>
  <si>
    <t>Folded Unipole Antennas: Theory and Applications</t>
  </si>
  <si>
    <t>Jeremy Raines K.</t>
  </si>
  <si>
    <t>Startup Equation: A Visual Guidebook to Building, Launching, and Scaling Your Startup</t>
  </si>
  <si>
    <t>New Manager's Survival Guide: Everything You Need to Know to Succeed in the Corporate World</t>
  </si>
  <si>
    <t>Bringing Out the Best in People</t>
  </si>
  <si>
    <t>Breakthrough Supply Chains: How Companies and Nations Can Thrive and Prosper in an Uncertain World</t>
  </si>
  <si>
    <t>2024-01-23</t>
  </si>
  <si>
    <t>Christopher Gopal Dr.</t>
  </si>
  <si>
    <t>2024-03-27</t>
  </si>
  <si>
    <t>2024-03-26</t>
  </si>
  <si>
    <t>2024-04-30</t>
  </si>
  <si>
    <t>2024-05-24</t>
  </si>
  <si>
    <t>CAPM Certified Associate in Project Management All-in-One Exam Guide</t>
  </si>
  <si>
    <t>2024-06-21</t>
  </si>
  <si>
    <t>James Haner Lee PgMP PMP PMI-ACP PMI-RMP PMI-SP CAPM</t>
  </si>
  <si>
    <t>Finance Essentials for Managers: The Tools You Need to Succeed as a Nonfinancial Professional</t>
  </si>
  <si>
    <t>RFID in the Supply Chain</t>
  </si>
  <si>
    <t>Pedro Reyes M. Ph.D.</t>
  </si>
  <si>
    <t>McGraw-Hill 36-Hour Course: Finance for Nonfinancial Managers</t>
  </si>
  <si>
    <t>2024-06-25</t>
  </si>
  <si>
    <t>H. Shoffner George</t>
  </si>
  <si>
    <t>Manager's Guide to Performance Management</t>
  </si>
  <si>
    <t>2024-07-18</t>
  </si>
  <si>
    <t>Linux Administration: A Beginner's Guide</t>
  </si>
  <si>
    <t>2024-07-25</t>
  </si>
  <si>
    <t>Desalination Engineering: Planning and Design</t>
  </si>
  <si>
    <t>2024-07-30</t>
  </si>
  <si>
    <t>Proactive Purchasing in the Supply Chain: The Key to World-Class Procurement</t>
  </si>
  <si>
    <t>2024-08-22</t>
  </si>
  <si>
    <t>David Burt N.</t>
  </si>
  <si>
    <t>Civil Engineering PE All-in-One Exam Guide</t>
  </si>
  <si>
    <t>2024-10-09</t>
  </si>
  <si>
    <t>2024 Exam Edition</t>
  </si>
  <si>
    <t>2024 International Building Code Illustrated Handbook</t>
  </si>
  <si>
    <t>2025-02-25</t>
  </si>
  <si>
    <t>2025-04-26</t>
  </si>
  <si>
    <t>Michael Nolan S.</t>
  </si>
  <si>
    <t>McGraw Hill's National Electrical Code 2023 Handbook</t>
  </si>
  <si>
    <t>2024-11-26</t>
  </si>
  <si>
    <t>31st Edition</t>
  </si>
  <si>
    <t>Advanced Mechanical Vibration: Modeling, Analysis, and Simulation</t>
  </si>
  <si>
    <t>2025-01-30</t>
  </si>
  <si>
    <t>Bingen Yang "Ben"</t>
  </si>
  <si>
    <t>Plant Design and Economics for Chemical Engineers</t>
  </si>
  <si>
    <t>2025-04-02</t>
  </si>
  <si>
    <t>Max Peters S.</t>
  </si>
  <si>
    <t>Steel, Concrete, and Composite Design of Tall and Supertall Buildings</t>
  </si>
  <si>
    <t>2025-04-30</t>
  </si>
  <si>
    <t>Virtualization, A Beginner's Guide</t>
  </si>
  <si>
    <t>2025-02-28</t>
  </si>
  <si>
    <t>Security Information and Event Management (SIEM) Implementation</t>
  </si>
  <si>
    <t>2024-12-20</t>
  </si>
  <si>
    <t>David Miller R.</t>
  </si>
  <si>
    <t>2024-12-23</t>
  </si>
  <si>
    <t>2024-09-30</t>
  </si>
  <si>
    <t>Mitigating Bias in Machine Learning</t>
  </si>
  <si>
    <t>2024-10-23</t>
  </si>
  <si>
    <t>Carlotta Berry A. Dr.</t>
  </si>
  <si>
    <t>CEH Certified Ethical Hacker All-in-One Exam Guide</t>
  </si>
  <si>
    <t>2024-10-25</t>
  </si>
  <si>
    <t>Karl Warnick F.</t>
  </si>
  <si>
    <t>JavaFX: A Beginners Guide</t>
  </si>
  <si>
    <t>2025-01-20</t>
  </si>
  <si>
    <t>J. DiMarzio F.</t>
  </si>
  <si>
    <t>CompTIA CySA+ Cybersecurity Analyst Certification All-in-One Exam Guide (CS0-001)</t>
  </si>
  <si>
    <t>Fernando MaymĂ­ J. Ph.D. CompTIA CySA+ CISSP</t>
  </si>
  <si>
    <t>Programmable Microcontrollers: Applications on the MSPM0 LaunchPad</t>
  </si>
  <si>
    <t>2025-06-26</t>
  </si>
  <si>
    <t>Masonry Structural Design: TMS 402/602-22 and ASCE 7-22</t>
  </si>
  <si>
    <t>2025-07-22</t>
  </si>
  <si>
    <t>Jennifer Tanner Eisenhauer</t>
  </si>
  <si>
    <t>2025-07-30</t>
  </si>
  <si>
    <t>Updated 2nd Edition</t>
  </si>
  <si>
    <t>2025-08-29</t>
  </si>
  <si>
    <t>R. Mobley Keith</t>
  </si>
  <si>
    <t>Reinforced Concrete Structures: Analysis and Design using ACI 318-25</t>
  </si>
  <si>
    <t>2025-09-26</t>
  </si>
  <si>
    <t>T0002_Open_Channel_Flow_Calculations_with_the_Manning_Equation</t>
  </si>
  <si>
    <t>T0003_Pipe_Flow_Friction_Factor_Calculations_with_Excel_Spreadsheets</t>
  </si>
  <si>
    <t>T0004_Partially_Full_Pipe_Flow_Calculations_Using_Excel_Spreadsheets</t>
  </si>
  <si>
    <t>CS0001_Rotator_Cuff</t>
  </si>
  <si>
    <t>CS0002_Continuous_Blood_Pressure_Monitoring</t>
  </si>
  <si>
    <t>CS0003_Herz_Case_Study_Cell_Culture_text_figures</t>
  </si>
  <si>
    <t>CS0004_Atrial_Fibrillation</t>
  </si>
  <si>
    <t>CS0005_Case_Study_Biotransport_of_Cannabis</t>
  </si>
  <si>
    <t>CS0006_Heterotopic_Ossification</t>
  </si>
  <si>
    <t>CS0007_Modeling_the_2020_Novel_Coronavirus_Pandemic</t>
  </si>
  <si>
    <t>CS0008_Sports_and_Recreation_Related_Concussion</t>
  </si>
  <si>
    <t>CS0009_Remediation_of_polyflouroalkyl_substances_PFAS_in_soil_and_water</t>
  </si>
  <si>
    <t>CS0010_Characterization_of_surface_water_for_potable_treatment</t>
  </si>
  <si>
    <t>CS0011_Out_of_Pace_Exploring_Long-Term_Issues_of_an_Innovative_Pace</t>
  </si>
  <si>
    <t>CS0012_Design_of_a_Resorbable_Ureteral_Stent</t>
  </si>
  <si>
    <t>CS0013_Integrated_Surface_Water_Treatment</t>
  </si>
  <si>
    <t>DV0001_Intro_to_MSE_Comparing_Material_Classes</t>
  </si>
  <si>
    <t>DV0002_Intro_to_MSE_Cost</t>
  </si>
  <si>
    <t>DV0003_Intro_to_MSE_Composites</t>
  </si>
  <si>
    <t>DV0004_Intro_to_MSE_Physical_Properties</t>
  </si>
  <si>
    <t>DV0005_Intro_to_MSE_Mechanical_Properties</t>
  </si>
  <si>
    <t>DV0006_Intro_to_MSE_Electrical_and_Magnetic_Properties</t>
  </si>
  <si>
    <t>DV0007_Intro_to_MSE_Metals</t>
  </si>
  <si>
    <t>DV0008_Intro_to_MSE_Thermal_and_Optical_Properties</t>
  </si>
  <si>
    <t>DV0009_Intro_to_MSE_Ceramics</t>
  </si>
  <si>
    <t>DV0010_Intro_to_MSE_Polymers</t>
  </si>
  <si>
    <t>DV0011_Exploring_Basic_Material_Properties</t>
  </si>
  <si>
    <t>DV0012_Influence_of_Material_Properties</t>
  </si>
  <si>
    <t>DV0013_Properties_for_Aerospace_Structures</t>
  </si>
  <si>
    <t>DV0014_Analysis_Stress_and_Deflection_of_Beams</t>
  </si>
  <si>
    <t>DV0015_Torsion_of_a_Compound_Shaft</t>
  </si>
  <si>
    <t>DV0016_Linking_the_Processing_and_Properties_of_a_Material</t>
  </si>
  <si>
    <t>DV0017_Materials_More_than_a_Name</t>
  </si>
  <si>
    <t>DV0018_3D_Printing_Filament</t>
  </si>
  <si>
    <t>DV0019_Arc_Welding_Metals</t>
  </si>
  <si>
    <t>DV0020_Conditioning_Plain_Carbon_Steel</t>
  </si>
  <si>
    <t>DV0021_Considerations_in_Forming_Operations</t>
  </si>
  <si>
    <t>DV0022_Designing_a_Die_Cast_Pump_Housing</t>
  </si>
  <si>
    <t>DV0023_Fatigue_Failure_and_Service_Temperature</t>
  </si>
  <si>
    <t>DV0024_Impact_of_Mechanical_Properties_on_Component_Design</t>
  </si>
  <si>
    <t>DV0025_Materials_for_Electric_Wiring</t>
  </si>
  <si>
    <t>DV0026_Structural_Effects_on_Deformation</t>
  </si>
  <si>
    <t>DV0027_Travel_Mug_Design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</si>
</sst>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/>
    <xf numFmtId="0" fontId="0" fillId="0" borderId="1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horizontal="center"/>
    </xf>
    <xf numFmtId="0" fontId="1" fillId="0" borderId="2" xfId="0" applyFont="1" applyBorder="1" applyAlignment="1">
      <alignment vertical="top" wrapText="1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1" fillId="0" borderId="2" xfId="0" applyFont="1" applyBorder="1"/>
    <xf numFmtId="1" fontId="0" fillId="0" borderId="2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4" fontId="0" fillId="0" borderId="2" xfId="0" applyNumberFormat="1" applyBorder="1"/>
    <xf numFmtId="0" fontId="2" fillId="0" borderId="2" xfId="1" applyBorder="1"/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/>
    <xf numFmtId="1" fontId="4" fillId="0" borderId="2" xfId="0" applyNumberFormat="1" applyFont="1" applyFill="1" applyBorder="1"/>
    <xf numFmtId="14" fontId="4" fillId="0" borderId="2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0" fillId="0" borderId="2" xfId="0" applyFont="1" applyFill="1" applyBorder="1"/>
    <xf numFmtId="1" fontId="0" fillId="0" borderId="2" xfId="0" applyNumberFormat="1" applyFont="1" applyFill="1" applyBorder="1"/>
    <xf numFmtId="14" fontId="0" fillId="0" borderId="2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2" xfId="0" applyFill="1" applyBorder="1"/>
    <xf numFmtId="0" fontId="0" fillId="0" borderId="2" xfId="0" applyNumberFormat="1" applyFont="1" applyFill="1" applyBorder="1"/>
    <xf numFmtId="0" fontId="0" fillId="0" borderId="2" xfId="0" applyNumberFormat="1" applyFont="1" applyFill="1" applyBorder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cessengineeringlibrary.com/content/calculator/S0002_Analysis_of_a_Simply_Supported_Beam" TargetMode="External"/><Relationship Id="rId1" Type="http://schemas.openxmlformats.org/officeDocument/2006/relationships/hyperlink" Target="https://www.accessengineeringlibrary.com/content/calculator/S0001_Activated_Sludge_Aeration_Tank_Calcul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59D3-9551-4816-AA98-A72EF6E800F3}">
  <dimension ref="A1:Z1000"/>
  <sheetViews>
    <sheetView tabSelected="1" workbookViewId="0">
      <selection activeCell="Y1011" sqref="Y1011"/>
    </sheetView>
  </sheetViews>
  <sheetFormatPr defaultRowHeight="14.4" x14ac:dyDescent="0.3"/>
  <cols>
    <col min="1" max="1" width="4.77734375" customWidth="1"/>
    <col min="2" max="2" width="47.88671875" customWidth="1"/>
    <col min="3" max="3" width="16" customWidth="1"/>
    <col min="4" max="4" width="16.109375" customWidth="1"/>
    <col min="5" max="5" width="11.33203125" customWidth="1"/>
    <col min="6" max="10" width="0" hidden="1" customWidth="1"/>
    <col min="11" max="11" width="64.6640625" customWidth="1"/>
    <col min="12" max="12" width="14.109375" customWidth="1"/>
    <col min="13" max="13" width="14.33203125" customWidth="1"/>
    <col min="16" max="16" width="4.77734375" customWidth="1"/>
    <col min="17" max="17" width="19.77734375" customWidth="1"/>
    <col min="24" max="24" width="25.5546875" customWidth="1"/>
  </cols>
  <sheetData>
    <row r="1" spans="1:26" s="10" customFormat="1" ht="43.2" customHeight="1" x14ac:dyDescent="0.3">
      <c r="A1" s="15"/>
      <c r="B1" s="15" t="s">
        <v>6894</v>
      </c>
      <c r="C1" s="15" t="s">
        <v>6895</v>
      </c>
      <c r="D1" s="15" t="s">
        <v>6896</v>
      </c>
      <c r="E1" s="15" t="s">
        <v>6897</v>
      </c>
      <c r="F1" s="15" t="s">
        <v>6898</v>
      </c>
      <c r="G1" s="15" t="s">
        <v>6899</v>
      </c>
      <c r="H1" s="15" t="s">
        <v>6900</v>
      </c>
      <c r="I1" s="15" t="s">
        <v>6901</v>
      </c>
      <c r="J1" s="15" t="s">
        <v>6902</v>
      </c>
      <c r="K1" s="15" t="s">
        <v>6903</v>
      </c>
      <c r="L1" s="15" t="s">
        <v>6904</v>
      </c>
      <c r="M1" s="15" t="s">
        <v>6905</v>
      </c>
      <c r="N1" s="15" t="s">
        <v>6906</v>
      </c>
      <c r="O1" s="15" t="s">
        <v>6907</v>
      </c>
      <c r="P1" s="15" t="s">
        <v>6908</v>
      </c>
      <c r="Q1" s="15" t="s">
        <v>6909</v>
      </c>
      <c r="R1" s="15" t="s">
        <v>6910</v>
      </c>
      <c r="S1" s="15" t="s">
        <v>6911</v>
      </c>
      <c r="T1" s="15" t="s">
        <v>6912</v>
      </c>
      <c r="U1" s="15" t="s">
        <v>6913</v>
      </c>
      <c r="V1" s="15" t="s">
        <v>6914</v>
      </c>
      <c r="W1" s="15" t="s">
        <v>6915</v>
      </c>
      <c r="X1" s="15" t="s">
        <v>6916</v>
      </c>
      <c r="Y1" s="15" t="s">
        <v>6917</v>
      </c>
      <c r="Z1" s="15" t="s">
        <v>6918</v>
      </c>
    </row>
    <row r="2" spans="1:26" x14ac:dyDescent="0.3">
      <c r="A2" s="16">
        <v>1</v>
      </c>
      <c r="B2" s="16" t="s">
        <v>7954</v>
      </c>
      <c r="C2" s="17">
        <v>9780071755672</v>
      </c>
      <c r="D2" s="17">
        <v>9780071755672</v>
      </c>
      <c r="E2" s="16" t="s">
        <v>7302</v>
      </c>
      <c r="F2" s="16" t="s">
        <v>17</v>
      </c>
      <c r="G2" s="16" t="s">
        <v>17</v>
      </c>
      <c r="H2" s="16" t="s">
        <v>17</v>
      </c>
      <c r="I2" s="16" t="s">
        <v>17</v>
      </c>
      <c r="J2" s="16" t="s">
        <v>17</v>
      </c>
      <c r="K2" s="16" t="s">
        <v>985</v>
      </c>
      <c r="L2" s="16" t="s">
        <v>6937</v>
      </c>
      <c r="M2" s="16" t="s">
        <v>7954</v>
      </c>
      <c r="N2" s="16" t="s">
        <v>17</v>
      </c>
      <c r="O2" s="16" t="s">
        <v>6921</v>
      </c>
      <c r="P2" s="16" t="s">
        <v>17</v>
      </c>
      <c r="Q2" s="16" t="s">
        <v>6922</v>
      </c>
      <c r="R2" s="16" t="s">
        <v>6923</v>
      </c>
      <c r="S2" s="16" t="s">
        <v>17</v>
      </c>
      <c r="T2" s="16" t="s">
        <v>7302</v>
      </c>
      <c r="U2" s="16" t="s">
        <v>17</v>
      </c>
      <c r="V2" s="16" t="s">
        <v>6929</v>
      </c>
      <c r="W2" s="16" t="s">
        <v>17</v>
      </c>
      <c r="X2" s="16" t="s">
        <v>7954</v>
      </c>
      <c r="Y2" s="16" t="s">
        <v>17</v>
      </c>
      <c r="Z2" s="16" t="s">
        <v>6926</v>
      </c>
    </row>
    <row r="3" spans="1:26" x14ac:dyDescent="0.3">
      <c r="A3" s="16">
        <v>2</v>
      </c>
      <c r="B3" s="16" t="s">
        <v>485</v>
      </c>
      <c r="C3" s="17">
        <v>9780070656925</v>
      </c>
      <c r="D3" s="17">
        <v>9780070656925</v>
      </c>
      <c r="E3" s="16" t="s">
        <v>85</v>
      </c>
      <c r="F3" s="16" t="s">
        <v>17</v>
      </c>
      <c r="G3" s="16" t="s">
        <v>17</v>
      </c>
      <c r="H3" s="16" t="s">
        <v>17</v>
      </c>
      <c r="I3" s="16" t="s">
        <v>17</v>
      </c>
      <c r="J3" s="16" t="s">
        <v>17</v>
      </c>
      <c r="K3" s="16" t="s">
        <v>487</v>
      </c>
      <c r="L3" s="16" t="s">
        <v>486</v>
      </c>
      <c r="M3" s="16" t="s">
        <v>485</v>
      </c>
      <c r="N3" s="16" t="s">
        <v>17</v>
      </c>
      <c r="O3" s="16" t="s">
        <v>6921</v>
      </c>
      <c r="P3" s="16" t="s">
        <v>17</v>
      </c>
      <c r="Q3" s="16" t="s">
        <v>6922</v>
      </c>
      <c r="R3" s="16" t="s">
        <v>6923</v>
      </c>
      <c r="S3" s="16" t="s">
        <v>17</v>
      </c>
      <c r="T3" s="16" t="s">
        <v>85</v>
      </c>
      <c r="U3" s="16" t="s">
        <v>17</v>
      </c>
      <c r="V3" s="16" t="s">
        <v>7049</v>
      </c>
      <c r="W3" s="16" t="s">
        <v>17</v>
      </c>
      <c r="X3" s="16" t="s">
        <v>485</v>
      </c>
      <c r="Y3" s="16" t="s">
        <v>17</v>
      </c>
      <c r="Z3" s="16" t="s">
        <v>6926</v>
      </c>
    </row>
    <row r="4" spans="1:26" x14ac:dyDescent="0.3">
      <c r="A4" s="16">
        <v>3</v>
      </c>
      <c r="B4" s="16" t="s">
        <v>8300</v>
      </c>
      <c r="C4" s="17">
        <v>9781259860461</v>
      </c>
      <c r="D4" s="17">
        <v>9781259860461</v>
      </c>
      <c r="E4" s="16" t="s">
        <v>7988</v>
      </c>
      <c r="F4" s="16" t="s">
        <v>17</v>
      </c>
      <c r="G4" s="16" t="s">
        <v>17</v>
      </c>
      <c r="H4" s="16" t="s">
        <v>17</v>
      </c>
      <c r="I4" s="16" t="s">
        <v>17</v>
      </c>
      <c r="J4" s="16" t="s">
        <v>17</v>
      </c>
      <c r="K4" s="16" t="s">
        <v>1360</v>
      </c>
      <c r="L4" s="16" t="s">
        <v>1272</v>
      </c>
      <c r="M4" s="16" t="s">
        <v>8300</v>
      </c>
      <c r="N4" s="16" t="s">
        <v>17</v>
      </c>
      <c r="O4" s="16" t="s">
        <v>6921</v>
      </c>
      <c r="P4" s="16" t="s">
        <v>17</v>
      </c>
      <c r="Q4" s="16" t="s">
        <v>6922</v>
      </c>
      <c r="R4" s="16" t="s">
        <v>6923</v>
      </c>
      <c r="S4" s="16" t="s">
        <v>17</v>
      </c>
      <c r="T4" s="16" t="s">
        <v>7988</v>
      </c>
      <c r="U4" s="16" t="s">
        <v>17</v>
      </c>
      <c r="V4" s="16" t="s">
        <v>6929</v>
      </c>
      <c r="W4" s="16" t="s">
        <v>17</v>
      </c>
      <c r="X4" s="16" t="s">
        <v>8300</v>
      </c>
      <c r="Y4" s="16" t="s">
        <v>17</v>
      </c>
      <c r="Z4" s="16" t="s">
        <v>6926</v>
      </c>
    </row>
    <row r="5" spans="1:26" x14ac:dyDescent="0.3">
      <c r="A5" s="16">
        <v>4</v>
      </c>
      <c r="B5" s="16" t="s">
        <v>8304</v>
      </c>
      <c r="C5" s="17">
        <v>9780071801317</v>
      </c>
      <c r="D5" s="17">
        <v>9780071801317</v>
      </c>
      <c r="E5" s="16" t="s">
        <v>7860</v>
      </c>
      <c r="F5" s="16" t="s">
        <v>17</v>
      </c>
      <c r="G5" s="16" t="s">
        <v>17</v>
      </c>
      <c r="H5" s="16" t="s">
        <v>17</v>
      </c>
      <c r="I5" s="16" t="s">
        <v>17</v>
      </c>
      <c r="J5" s="16" t="s">
        <v>17</v>
      </c>
      <c r="K5" s="16" t="s">
        <v>1362</v>
      </c>
      <c r="L5" s="16" t="s">
        <v>7406</v>
      </c>
      <c r="M5" s="16" t="s">
        <v>8304</v>
      </c>
      <c r="N5" s="16" t="s">
        <v>17</v>
      </c>
      <c r="O5" s="16" t="s">
        <v>6921</v>
      </c>
      <c r="P5" s="16" t="s">
        <v>17</v>
      </c>
      <c r="Q5" s="16" t="s">
        <v>6922</v>
      </c>
      <c r="R5" s="16" t="s">
        <v>6923</v>
      </c>
      <c r="S5" s="16" t="s">
        <v>17</v>
      </c>
      <c r="T5" s="16" t="s">
        <v>7860</v>
      </c>
      <c r="U5" s="16" t="s">
        <v>17</v>
      </c>
      <c r="V5" s="16" t="s">
        <v>6929</v>
      </c>
      <c r="W5" s="16" t="s">
        <v>17</v>
      </c>
      <c r="X5" s="16" t="s">
        <v>8304</v>
      </c>
      <c r="Y5" s="16" t="s">
        <v>17</v>
      </c>
      <c r="Z5" s="16" t="s">
        <v>6926</v>
      </c>
    </row>
    <row r="6" spans="1:26" x14ac:dyDescent="0.3">
      <c r="A6" s="16">
        <v>5</v>
      </c>
      <c r="B6" s="16" t="s">
        <v>8251</v>
      </c>
      <c r="C6" s="17">
        <v>9781259586125</v>
      </c>
      <c r="D6" s="17">
        <v>9781259586125</v>
      </c>
      <c r="E6" s="16" t="s">
        <v>8252</v>
      </c>
      <c r="F6" s="16" t="s">
        <v>17</v>
      </c>
      <c r="G6" s="16" t="s">
        <v>17</v>
      </c>
      <c r="H6" s="16" t="s">
        <v>17</v>
      </c>
      <c r="I6" s="16" t="s">
        <v>17</v>
      </c>
      <c r="J6" s="16" t="s">
        <v>17</v>
      </c>
      <c r="K6" s="16" t="s">
        <v>1324</v>
      </c>
      <c r="L6" s="16" t="s">
        <v>8253</v>
      </c>
      <c r="M6" s="16" t="s">
        <v>8251</v>
      </c>
      <c r="N6" s="16" t="s">
        <v>17</v>
      </c>
      <c r="O6" s="16" t="s">
        <v>6921</v>
      </c>
      <c r="P6" s="16" t="s">
        <v>17</v>
      </c>
      <c r="Q6" s="16" t="s">
        <v>6922</v>
      </c>
      <c r="R6" s="16" t="s">
        <v>6923</v>
      </c>
      <c r="S6" s="16" t="s">
        <v>17</v>
      </c>
      <c r="T6" s="16" t="s">
        <v>8252</v>
      </c>
      <c r="U6" s="16" t="s">
        <v>17</v>
      </c>
      <c r="V6" s="16" t="s">
        <v>6929</v>
      </c>
      <c r="W6" s="16" t="s">
        <v>17</v>
      </c>
      <c r="X6" s="16" t="s">
        <v>8251</v>
      </c>
      <c r="Y6" s="16" t="s">
        <v>17</v>
      </c>
      <c r="Z6" s="16" t="s">
        <v>6926</v>
      </c>
    </row>
    <row r="7" spans="1:26" x14ac:dyDescent="0.3">
      <c r="A7" s="16">
        <v>6</v>
      </c>
      <c r="B7" s="16" t="s">
        <v>7404</v>
      </c>
      <c r="C7" s="17">
        <v>9781260132298</v>
      </c>
      <c r="D7" s="17">
        <v>9781260132298</v>
      </c>
      <c r="E7" s="16" t="s">
        <v>7405</v>
      </c>
      <c r="F7" s="16" t="s">
        <v>17</v>
      </c>
      <c r="G7" s="16" t="s">
        <v>17</v>
      </c>
      <c r="H7" s="16" t="s">
        <v>17</v>
      </c>
      <c r="I7" s="16" t="s">
        <v>17</v>
      </c>
      <c r="J7" s="16" t="s">
        <v>17</v>
      </c>
      <c r="K7" s="16" t="s">
        <v>417</v>
      </c>
      <c r="L7" s="16" t="s">
        <v>7406</v>
      </c>
      <c r="M7" s="16" t="s">
        <v>7404</v>
      </c>
      <c r="N7" s="16" t="s">
        <v>17</v>
      </c>
      <c r="O7" s="16" t="s">
        <v>6921</v>
      </c>
      <c r="P7" s="16" t="s">
        <v>17</v>
      </c>
      <c r="Q7" s="16" t="s">
        <v>6922</v>
      </c>
      <c r="R7" s="16" t="s">
        <v>6923</v>
      </c>
      <c r="S7" s="16" t="s">
        <v>17</v>
      </c>
      <c r="T7" s="16" t="s">
        <v>7405</v>
      </c>
      <c r="U7" s="16" t="s">
        <v>17</v>
      </c>
      <c r="V7" s="16" t="s">
        <v>6929</v>
      </c>
      <c r="W7" s="16" t="s">
        <v>17</v>
      </c>
      <c r="X7" s="16" t="s">
        <v>7404</v>
      </c>
      <c r="Y7" s="16" t="s">
        <v>17</v>
      </c>
      <c r="Z7" s="16" t="s">
        <v>6926</v>
      </c>
    </row>
    <row r="8" spans="1:26" x14ac:dyDescent="0.3">
      <c r="A8" s="16">
        <v>7</v>
      </c>
      <c r="B8" s="16" t="s">
        <v>8022</v>
      </c>
      <c r="C8" s="17">
        <v>9781260134780</v>
      </c>
      <c r="D8" s="17">
        <v>9781260134780</v>
      </c>
      <c r="E8" s="16" t="s">
        <v>7393</v>
      </c>
      <c r="F8" s="16" t="s">
        <v>17</v>
      </c>
      <c r="G8" s="16" t="s">
        <v>17</v>
      </c>
      <c r="H8" s="16" t="s">
        <v>17</v>
      </c>
      <c r="I8" s="16" t="s">
        <v>17</v>
      </c>
      <c r="J8" s="16" t="s">
        <v>17</v>
      </c>
      <c r="K8" s="16" t="s">
        <v>1084</v>
      </c>
      <c r="L8" s="16" t="s">
        <v>1083</v>
      </c>
      <c r="M8" s="16" t="s">
        <v>8022</v>
      </c>
      <c r="N8" s="16" t="s">
        <v>17</v>
      </c>
      <c r="O8" s="16" t="s">
        <v>6921</v>
      </c>
      <c r="P8" s="16" t="s">
        <v>17</v>
      </c>
      <c r="Q8" s="16" t="s">
        <v>6922</v>
      </c>
      <c r="R8" s="16" t="s">
        <v>6923</v>
      </c>
      <c r="S8" s="16" t="s">
        <v>17</v>
      </c>
      <c r="T8" s="16" t="s">
        <v>7393</v>
      </c>
      <c r="U8" s="16" t="s">
        <v>17</v>
      </c>
      <c r="V8" s="16" t="s">
        <v>6929</v>
      </c>
      <c r="W8" s="16" t="s">
        <v>17</v>
      </c>
      <c r="X8" s="16" t="s">
        <v>8022</v>
      </c>
      <c r="Y8" s="16" t="s">
        <v>17</v>
      </c>
      <c r="Z8" s="16" t="s">
        <v>6926</v>
      </c>
    </row>
    <row r="9" spans="1:26" x14ac:dyDescent="0.3">
      <c r="A9" s="16">
        <v>8</v>
      </c>
      <c r="B9" s="16" t="s">
        <v>7425</v>
      </c>
      <c r="C9" s="17">
        <v>9781264270118</v>
      </c>
      <c r="D9" s="17">
        <v>9781264270118</v>
      </c>
      <c r="E9" s="16" t="s">
        <v>7426</v>
      </c>
      <c r="F9" s="16" t="s">
        <v>17</v>
      </c>
      <c r="G9" s="16" t="s">
        <v>17</v>
      </c>
      <c r="H9" s="16" t="s">
        <v>17</v>
      </c>
      <c r="I9" s="16" t="s">
        <v>17</v>
      </c>
      <c r="J9" s="16" t="s">
        <v>17</v>
      </c>
      <c r="K9" s="16" t="s">
        <v>433</v>
      </c>
      <c r="L9" s="16" t="s">
        <v>7427</v>
      </c>
      <c r="M9" s="16" t="s">
        <v>7425</v>
      </c>
      <c r="N9" s="16" t="s">
        <v>17</v>
      </c>
      <c r="O9" s="16" t="s">
        <v>6921</v>
      </c>
      <c r="P9" s="16" t="s">
        <v>17</v>
      </c>
      <c r="Q9" s="16" t="s">
        <v>6922</v>
      </c>
      <c r="R9" s="16" t="s">
        <v>6923</v>
      </c>
      <c r="S9" s="16" t="s">
        <v>17</v>
      </c>
      <c r="T9" s="16" t="s">
        <v>7426</v>
      </c>
      <c r="U9" s="16" t="s">
        <v>17</v>
      </c>
      <c r="V9" s="16" t="s">
        <v>6929</v>
      </c>
      <c r="W9" s="16" t="s">
        <v>17</v>
      </c>
      <c r="X9" s="16" t="s">
        <v>7425</v>
      </c>
      <c r="Y9" s="16" t="s">
        <v>17</v>
      </c>
      <c r="Z9" s="16" t="s">
        <v>6926</v>
      </c>
    </row>
    <row r="10" spans="1:26" x14ac:dyDescent="0.3">
      <c r="A10" s="16">
        <v>9</v>
      </c>
      <c r="B10" s="16" t="s">
        <v>8425</v>
      </c>
      <c r="C10" s="17">
        <v>9781266205781</v>
      </c>
      <c r="D10" s="17">
        <v>9781266205781</v>
      </c>
      <c r="E10" s="16" t="s">
        <v>8426</v>
      </c>
      <c r="F10" s="16" t="s">
        <v>17</v>
      </c>
      <c r="G10" s="16" t="s">
        <v>17</v>
      </c>
      <c r="H10" s="16" t="s">
        <v>17</v>
      </c>
      <c r="I10" s="16" t="s">
        <v>17</v>
      </c>
      <c r="J10" s="16" t="s">
        <v>17</v>
      </c>
      <c r="K10" s="16" t="s">
        <v>1613</v>
      </c>
      <c r="L10" s="16" t="s">
        <v>7427</v>
      </c>
      <c r="M10" s="16" t="s">
        <v>8425</v>
      </c>
      <c r="N10" s="16" t="s">
        <v>17</v>
      </c>
      <c r="O10" s="16" t="s">
        <v>6921</v>
      </c>
      <c r="P10" s="16" t="s">
        <v>17</v>
      </c>
      <c r="Q10" s="16" t="s">
        <v>6922</v>
      </c>
      <c r="R10" s="16" t="s">
        <v>6923</v>
      </c>
      <c r="S10" s="16" t="s">
        <v>17</v>
      </c>
      <c r="T10" s="16" t="s">
        <v>8426</v>
      </c>
      <c r="U10" s="16" t="s">
        <v>17</v>
      </c>
      <c r="V10" s="16" t="s">
        <v>6929</v>
      </c>
      <c r="W10" s="16" t="s">
        <v>17</v>
      </c>
      <c r="X10" s="16" t="s">
        <v>8425</v>
      </c>
      <c r="Y10" s="16" t="s">
        <v>17</v>
      </c>
      <c r="Z10" s="16" t="s">
        <v>6926</v>
      </c>
    </row>
    <row r="11" spans="1:26" x14ac:dyDescent="0.3">
      <c r="A11" s="16">
        <v>10</v>
      </c>
      <c r="B11" s="16" t="s">
        <v>1103</v>
      </c>
      <c r="C11" s="17">
        <v>9780071626750</v>
      </c>
      <c r="D11" s="17">
        <v>9780071626750</v>
      </c>
      <c r="E11" s="16" t="s">
        <v>6920</v>
      </c>
      <c r="F11" s="16" t="s">
        <v>17</v>
      </c>
      <c r="G11" s="16" t="s">
        <v>17</v>
      </c>
      <c r="H11" s="16" t="s">
        <v>17</v>
      </c>
      <c r="I11" s="16" t="s">
        <v>17</v>
      </c>
      <c r="J11" s="16" t="s">
        <v>17</v>
      </c>
      <c r="K11" s="16" t="s">
        <v>1105</v>
      </c>
      <c r="L11" s="16" t="s">
        <v>1104</v>
      </c>
      <c r="M11" s="16" t="s">
        <v>1103</v>
      </c>
      <c r="N11" s="16" t="s">
        <v>17</v>
      </c>
      <c r="O11" s="16" t="s">
        <v>6921</v>
      </c>
      <c r="P11" s="16" t="s">
        <v>17</v>
      </c>
      <c r="Q11" s="16" t="s">
        <v>6922</v>
      </c>
      <c r="R11" s="16" t="s">
        <v>6923</v>
      </c>
      <c r="S11" s="16" t="s">
        <v>17</v>
      </c>
      <c r="T11" s="16" t="s">
        <v>6920</v>
      </c>
      <c r="U11" s="16" t="s">
        <v>17</v>
      </c>
      <c r="V11" s="16" t="s">
        <v>7049</v>
      </c>
      <c r="W11" s="16" t="s">
        <v>17</v>
      </c>
      <c r="X11" s="16" t="s">
        <v>1103</v>
      </c>
      <c r="Y11" s="16" t="s">
        <v>17</v>
      </c>
      <c r="Z11" s="16" t="s">
        <v>6926</v>
      </c>
    </row>
    <row r="12" spans="1:26" x14ac:dyDescent="0.3">
      <c r="A12" s="16">
        <v>11</v>
      </c>
      <c r="B12" s="16" t="s">
        <v>7301</v>
      </c>
      <c r="C12" s="17">
        <v>9780071817721</v>
      </c>
      <c r="D12" s="17">
        <v>9780071817721</v>
      </c>
      <c r="E12" s="16" t="s">
        <v>7302</v>
      </c>
      <c r="F12" s="16" t="s">
        <v>17</v>
      </c>
      <c r="G12" s="16" t="s">
        <v>17</v>
      </c>
      <c r="H12" s="16" t="s">
        <v>17</v>
      </c>
      <c r="I12" s="16" t="s">
        <v>17</v>
      </c>
      <c r="J12" s="16" t="s">
        <v>17</v>
      </c>
      <c r="K12" s="16" t="s">
        <v>317</v>
      </c>
      <c r="L12" s="16" t="s">
        <v>6937</v>
      </c>
      <c r="M12" s="16" t="s">
        <v>7301</v>
      </c>
      <c r="N12" s="16" t="s">
        <v>17</v>
      </c>
      <c r="O12" s="16" t="s">
        <v>6921</v>
      </c>
      <c r="P12" s="16" t="s">
        <v>17</v>
      </c>
      <c r="Q12" s="16" t="s">
        <v>6922</v>
      </c>
      <c r="R12" s="16" t="s">
        <v>6923</v>
      </c>
      <c r="S12" s="16" t="s">
        <v>17</v>
      </c>
      <c r="T12" s="16" t="s">
        <v>7302</v>
      </c>
      <c r="U12" s="16" t="s">
        <v>17</v>
      </c>
      <c r="V12" s="16" t="s">
        <v>6924</v>
      </c>
      <c r="W12" s="16" t="s">
        <v>17</v>
      </c>
      <c r="X12" s="16" t="s">
        <v>7301</v>
      </c>
      <c r="Y12" s="16" t="s">
        <v>17</v>
      </c>
      <c r="Z12" s="16" t="s">
        <v>6926</v>
      </c>
    </row>
    <row r="13" spans="1:26" x14ac:dyDescent="0.3">
      <c r="A13" s="16">
        <v>12</v>
      </c>
      <c r="B13" s="16" t="s">
        <v>8117</v>
      </c>
      <c r="C13" s="17">
        <v>9780071839280</v>
      </c>
      <c r="D13" s="17">
        <v>9780071839280</v>
      </c>
      <c r="E13" s="16" t="s">
        <v>7302</v>
      </c>
      <c r="F13" s="16" t="s">
        <v>17</v>
      </c>
      <c r="G13" s="16" t="s">
        <v>17</v>
      </c>
      <c r="H13" s="16" t="s">
        <v>17</v>
      </c>
      <c r="I13" s="16" t="s">
        <v>17</v>
      </c>
      <c r="J13" s="16" t="s">
        <v>17</v>
      </c>
      <c r="K13" s="16" t="s">
        <v>1206</v>
      </c>
      <c r="L13" s="16" t="s">
        <v>208</v>
      </c>
      <c r="M13" s="16" t="s">
        <v>8117</v>
      </c>
      <c r="N13" s="16" t="s">
        <v>17</v>
      </c>
      <c r="O13" s="16" t="s">
        <v>6921</v>
      </c>
      <c r="P13" s="16" t="s">
        <v>17</v>
      </c>
      <c r="Q13" s="16" t="s">
        <v>6922</v>
      </c>
      <c r="R13" s="16" t="s">
        <v>6923</v>
      </c>
      <c r="S13" s="16" t="s">
        <v>17</v>
      </c>
      <c r="T13" s="16" t="s">
        <v>7302</v>
      </c>
      <c r="U13" s="16" t="s">
        <v>17</v>
      </c>
      <c r="V13" s="16" t="s">
        <v>6929</v>
      </c>
      <c r="W13" s="16" t="s">
        <v>17</v>
      </c>
      <c r="X13" s="16" t="s">
        <v>8117</v>
      </c>
      <c r="Y13" s="16" t="s">
        <v>17</v>
      </c>
      <c r="Z13" s="16" t="s">
        <v>6926</v>
      </c>
    </row>
    <row r="14" spans="1:26" x14ac:dyDescent="0.3">
      <c r="A14" s="16">
        <v>13</v>
      </c>
      <c r="B14" s="16" t="s">
        <v>7010</v>
      </c>
      <c r="C14" s="17">
        <v>9780071848060</v>
      </c>
      <c r="D14" s="17">
        <v>9780071848060</v>
      </c>
      <c r="E14" s="16" t="s">
        <v>6936</v>
      </c>
      <c r="F14" s="16" t="s">
        <v>17</v>
      </c>
      <c r="G14" s="16" t="s">
        <v>17</v>
      </c>
      <c r="H14" s="16" t="s">
        <v>17</v>
      </c>
      <c r="I14" s="16" t="s">
        <v>17</v>
      </c>
      <c r="J14" s="16" t="s">
        <v>17</v>
      </c>
      <c r="K14" s="16" t="s">
        <v>79</v>
      </c>
      <c r="L14" s="16" t="s">
        <v>7011</v>
      </c>
      <c r="M14" s="16" t="s">
        <v>7010</v>
      </c>
      <c r="N14" s="16" t="s">
        <v>17</v>
      </c>
      <c r="O14" s="16" t="s">
        <v>6921</v>
      </c>
      <c r="P14" s="16" t="s">
        <v>17</v>
      </c>
      <c r="Q14" s="16" t="s">
        <v>6922</v>
      </c>
      <c r="R14" s="16" t="s">
        <v>6923</v>
      </c>
      <c r="S14" s="16" t="s">
        <v>17</v>
      </c>
      <c r="T14" s="16" t="s">
        <v>6936</v>
      </c>
      <c r="U14" s="16" t="s">
        <v>17</v>
      </c>
      <c r="V14" s="16" t="s">
        <v>6929</v>
      </c>
      <c r="W14" s="16" t="s">
        <v>17</v>
      </c>
      <c r="X14" s="16" t="s">
        <v>7010</v>
      </c>
      <c r="Y14" s="16" t="s">
        <v>17</v>
      </c>
      <c r="Z14" s="16" t="s">
        <v>6926</v>
      </c>
    </row>
    <row r="15" spans="1:26" x14ac:dyDescent="0.3">
      <c r="A15" s="16">
        <v>14</v>
      </c>
      <c r="B15" s="16" t="s">
        <v>8074</v>
      </c>
      <c r="C15" s="17">
        <v>9781259860386</v>
      </c>
      <c r="D15" s="17">
        <v>9781259860386</v>
      </c>
      <c r="E15" s="16" t="s">
        <v>7095</v>
      </c>
      <c r="F15" s="16" t="s">
        <v>17</v>
      </c>
      <c r="G15" s="16" t="s">
        <v>17</v>
      </c>
      <c r="H15" s="16" t="s">
        <v>17</v>
      </c>
      <c r="I15" s="16" t="s">
        <v>17</v>
      </c>
      <c r="J15" s="16" t="s">
        <v>17</v>
      </c>
      <c r="K15" s="16" t="s">
        <v>1153</v>
      </c>
      <c r="L15" s="16" t="s">
        <v>7732</v>
      </c>
      <c r="M15" s="16" t="s">
        <v>8074</v>
      </c>
      <c r="N15" s="16" t="s">
        <v>17</v>
      </c>
      <c r="O15" s="16" t="s">
        <v>6921</v>
      </c>
      <c r="P15" s="16" t="s">
        <v>17</v>
      </c>
      <c r="Q15" s="16" t="s">
        <v>6922</v>
      </c>
      <c r="R15" s="16" t="s">
        <v>6923</v>
      </c>
      <c r="S15" s="16" t="s">
        <v>17</v>
      </c>
      <c r="T15" s="16" t="s">
        <v>7095</v>
      </c>
      <c r="U15" s="16" t="s">
        <v>17</v>
      </c>
      <c r="V15" s="16" t="s">
        <v>6929</v>
      </c>
      <c r="W15" s="16" t="s">
        <v>17</v>
      </c>
      <c r="X15" s="16" t="s">
        <v>8074</v>
      </c>
      <c r="Y15" s="16" t="s">
        <v>17</v>
      </c>
      <c r="Z15" s="16" t="s">
        <v>6926</v>
      </c>
    </row>
    <row r="16" spans="1:26" x14ac:dyDescent="0.3">
      <c r="A16" s="16">
        <v>15</v>
      </c>
      <c r="B16" s="16" t="s">
        <v>4345</v>
      </c>
      <c r="C16" s="17">
        <v>9780071842419</v>
      </c>
      <c r="D16" s="17">
        <v>9780071842419</v>
      </c>
      <c r="E16" s="16" t="s">
        <v>7673</v>
      </c>
      <c r="F16" s="16" t="s">
        <v>17</v>
      </c>
      <c r="G16" s="16" t="s">
        <v>17</v>
      </c>
      <c r="H16" s="16" t="s">
        <v>17</v>
      </c>
      <c r="I16" s="16" t="s">
        <v>17</v>
      </c>
      <c r="J16" s="16" t="s">
        <v>17</v>
      </c>
      <c r="K16" s="16" t="s">
        <v>722</v>
      </c>
      <c r="L16" s="16" t="s">
        <v>7732</v>
      </c>
      <c r="M16" s="16" t="s">
        <v>4345</v>
      </c>
      <c r="N16" s="16" t="s">
        <v>17</v>
      </c>
      <c r="O16" s="16" t="s">
        <v>6921</v>
      </c>
      <c r="P16" s="16" t="s">
        <v>17</v>
      </c>
      <c r="Q16" s="16" t="s">
        <v>6922</v>
      </c>
      <c r="R16" s="16" t="s">
        <v>6923</v>
      </c>
      <c r="S16" s="16" t="s">
        <v>17</v>
      </c>
      <c r="T16" s="16" t="s">
        <v>7673</v>
      </c>
      <c r="U16" s="16" t="s">
        <v>17</v>
      </c>
      <c r="V16" s="16" t="s">
        <v>6929</v>
      </c>
      <c r="W16" s="16" t="s">
        <v>17</v>
      </c>
      <c r="X16" s="16" t="s">
        <v>4345</v>
      </c>
      <c r="Y16" s="16" t="s">
        <v>17</v>
      </c>
      <c r="Z16" s="16" t="s">
        <v>6926</v>
      </c>
    </row>
    <row r="17" spans="1:26" x14ac:dyDescent="0.3">
      <c r="A17" s="16">
        <v>16</v>
      </c>
      <c r="B17" s="16" t="s">
        <v>4005</v>
      </c>
      <c r="C17" s="17">
        <v>9780071833479</v>
      </c>
      <c r="D17" s="17">
        <v>9780071833479</v>
      </c>
      <c r="E17" s="16" t="s">
        <v>7302</v>
      </c>
      <c r="F17" s="16" t="s">
        <v>17</v>
      </c>
      <c r="G17" s="16" t="s">
        <v>17</v>
      </c>
      <c r="H17" s="16" t="s">
        <v>17</v>
      </c>
      <c r="I17" s="16" t="s">
        <v>17</v>
      </c>
      <c r="J17" s="16" t="s">
        <v>17</v>
      </c>
      <c r="K17" s="16" t="s">
        <v>1616</v>
      </c>
      <c r="L17" s="16" t="s">
        <v>7732</v>
      </c>
      <c r="M17" s="16" t="s">
        <v>4005</v>
      </c>
      <c r="N17" s="16" t="s">
        <v>17</v>
      </c>
      <c r="O17" s="16" t="s">
        <v>6921</v>
      </c>
      <c r="P17" s="16" t="s">
        <v>17</v>
      </c>
      <c r="Q17" s="16" t="s">
        <v>6922</v>
      </c>
      <c r="R17" s="16" t="s">
        <v>6923</v>
      </c>
      <c r="S17" s="16" t="s">
        <v>17</v>
      </c>
      <c r="T17" s="16" t="s">
        <v>7302</v>
      </c>
      <c r="U17" s="16" t="s">
        <v>17</v>
      </c>
      <c r="V17" s="16" t="s">
        <v>6929</v>
      </c>
      <c r="W17" s="16" t="s">
        <v>17</v>
      </c>
      <c r="X17" s="16" t="s">
        <v>4005</v>
      </c>
      <c r="Y17" s="16" t="s">
        <v>17</v>
      </c>
      <c r="Z17" s="16" t="s">
        <v>6926</v>
      </c>
    </row>
    <row r="18" spans="1:26" x14ac:dyDescent="0.3">
      <c r="A18" s="16">
        <v>17</v>
      </c>
      <c r="B18" s="16" t="s">
        <v>1253</v>
      </c>
      <c r="C18" s="17">
        <v>9780070527997</v>
      </c>
      <c r="D18" s="17">
        <v>9780070527997</v>
      </c>
      <c r="E18" s="16" t="s">
        <v>8171</v>
      </c>
      <c r="F18" s="16" t="s">
        <v>17</v>
      </c>
      <c r="G18" s="16" t="s">
        <v>17</v>
      </c>
      <c r="H18" s="16" t="s">
        <v>17</v>
      </c>
      <c r="I18" s="16" t="s">
        <v>17</v>
      </c>
      <c r="J18" s="16" t="s">
        <v>17</v>
      </c>
      <c r="K18" s="16" t="s">
        <v>1254</v>
      </c>
      <c r="L18" s="16" t="s">
        <v>486</v>
      </c>
      <c r="M18" s="16" t="s">
        <v>1253</v>
      </c>
      <c r="N18" s="16" t="s">
        <v>17</v>
      </c>
      <c r="O18" s="16" t="s">
        <v>6921</v>
      </c>
      <c r="P18" s="16" t="s">
        <v>17</v>
      </c>
      <c r="Q18" s="16" t="s">
        <v>6922</v>
      </c>
      <c r="R18" s="16" t="s">
        <v>6923</v>
      </c>
      <c r="S18" s="16" t="s">
        <v>17</v>
      </c>
      <c r="T18" s="16" t="s">
        <v>8171</v>
      </c>
      <c r="U18" s="16" t="s">
        <v>17</v>
      </c>
      <c r="V18" s="16" t="s">
        <v>7049</v>
      </c>
      <c r="W18" s="16" t="s">
        <v>17</v>
      </c>
      <c r="X18" s="16" t="s">
        <v>1253</v>
      </c>
      <c r="Y18" s="16" t="s">
        <v>17</v>
      </c>
      <c r="Z18" s="16" t="s">
        <v>6926</v>
      </c>
    </row>
    <row r="19" spans="1:26" x14ac:dyDescent="0.3">
      <c r="A19" s="16">
        <v>18</v>
      </c>
      <c r="B19" s="16" t="s">
        <v>1563</v>
      </c>
      <c r="C19" s="17">
        <v>9780071363815</v>
      </c>
      <c r="D19" s="17">
        <v>9780071363815</v>
      </c>
      <c r="E19" s="16" t="s">
        <v>6920</v>
      </c>
      <c r="F19" s="16" t="s">
        <v>17</v>
      </c>
      <c r="G19" s="16" t="s">
        <v>17</v>
      </c>
      <c r="H19" s="16" t="s">
        <v>17</v>
      </c>
      <c r="I19" s="16" t="s">
        <v>17</v>
      </c>
      <c r="J19" s="16" t="s">
        <v>17</v>
      </c>
      <c r="K19" s="16" t="s">
        <v>1565</v>
      </c>
      <c r="L19" s="16" t="s">
        <v>1564</v>
      </c>
      <c r="M19" s="16" t="s">
        <v>1563</v>
      </c>
      <c r="N19" s="16" t="s">
        <v>17</v>
      </c>
      <c r="O19" s="16" t="s">
        <v>6921</v>
      </c>
      <c r="P19" s="16" t="s">
        <v>17</v>
      </c>
      <c r="Q19" s="16" t="s">
        <v>6922</v>
      </c>
      <c r="R19" s="16" t="s">
        <v>6923</v>
      </c>
      <c r="S19" s="16" t="s">
        <v>17</v>
      </c>
      <c r="T19" s="16" t="s">
        <v>6920</v>
      </c>
      <c r="U19" s="16" t="s">
        <v>17</v>
      </c>
      <c r="V19" s="16" t="s">
        <v>7049</v>
      </c>
      <c r="W19" s="16" t="s">
        <v>17</v>
      </c>
      <c r="X19" s="16" t="s">
        <v>1563</v>
      </c>
      <c r="Y19" s="16" t="s">
        <v>17</v>
      </c>
      <c r="Z19" s="16" t="s">
        <v>6926</v>
      </c>
    </row>
    <row r="20" spans="1:26" x14ac:dyDescent="0.3">
      <c r="A20" s="16">
        <v>19</v>
      </c>
      <c r="B20" s="16" t="s">
        <v>7857</v>
      </c>
      <c r="C20" s="17">
        <v>9781260456134</v>
      </c>
      <c r="D20" s="17">
        <v>9781260456134</v>
      </c>
      <c r="E20" s="16" t="s">
        <v>7858</v>
      </c>
      <c r="F20" s="16" t="s">
        <v>17</v>
      </c>
      <c r="G20" s="16" t="s">
        <v>17</v>
      </c>
      <c r="H20" s="16" t="s">
        <v>17</v>
      </c>
      <c r="I20" s="16" t="s">
        <v>17</v>
      </c>
      <c r="J20" s="16" t="s">
        <v>17</v>
      </c>
      <c r="K20" s="16" t="s">
        <v>848</v>
      </c>
      <c r="L20" s="16" t="s">
        <v>411</v>
      </c>
      <c r="M20" s="16" t="s">
        <v>7857</v>
      </c>
      <c r="N20" s="16" t="s">
        <v>17</v>
      </c>
      <c r="O20" s="16" t="s">
        <v>6921</v>
      </c>
      <c r="P20" s="16" t="s">
        <v>17</v>
      </c>
      <c r="Q20" s="16" t="s">
        <v>6922</v>
      </c>
      <c r="R20" s="16" t="s">
        <v>6923</v>
      </c>
      <c r="S20" s="16" t="s">
        <v>17</v>
      </c>
      <c r="T20" s="16" t="s">
        <v>7858</v>
      </c>
      <c r="U20" s="16" t="s">
        <v>17</v>
      </c>
      <c r="V20" s="16" t="s">
        <v>6929</v>
      </c>
      <c r="W20" s="16" t="s">
        <v>17</v>
      </c>
      <c r="X20" s="16" t="s">
        <v>7857</v>
      </c>
      <c r="Y20" s="16" t="s">
        <v>17</v>
      </c>
      <c r="Z20" s="16" t="s">
        <v>6926</v>
      </c>
    </row>
    <row r="21" spans="1:26" x14ac:dyDescent="0.3">
      <c r="A21" s="16">
        <v>20</v>
      </c>
      <c r="B21" s="16" t="s">
        <v>7652</v>
      </c>
      <c r="C21" s="17">
        <v>9781260461664</v>
      </c>
      <c r="D21" s="17">
        <v>9781260461664</v>
      </c>
      <c r="E21" s="16" t="s">
        <v>7593</v>
      </c>
      <c r="F21" s="16" t="s">
        <v>17</v>
      </c>
      <c r="G21" s="16" t="s">
        <v>17</v>
      </c>
      <c r="H21" s="16" t="s">
        <v>17</v>
      </c>
      <c r="I21" s="16" t="s">
        <v>17</v>
      </c>
      <c r="J21" s="16" t="s">
        <v>17</v>
      </c>
      <c r="K21" s="16" t="s">
        <v>641</v>
      </c>
      <c r="L21" s="16" t="s">
        <v>7653</v>
      </c>
      <c r="M21" s="16" t="s">
        <v>7652</v>
      </c>
      <c r="N21" s="16" t="s">
        <v>17</v>
      </c>
      <c r="O21" s="16" t="s">
        <v>6921</v>
      </c>
      <c r="P21" s="16" t="s">
        <v>17</v>
      </c>
      <c r="Q21" s="16" t="s">
        <v>6922</v>
      </c>
      <c r="R21" s="16" t="s">
        <v>6923</v>
      </c>
      <c r="S21" s="16" t="s">
        <v>17</v>
      </c>
      <c r="T21" s="16" t="s">
        <v>7593</v>
      </c>
      <c r="U21" s="16" t="s">
        <v>17</v>
      </c>
      <c r="V21" s="16" t="s">
        <v>6944</v>
      </c>
      <c r="W21" s="16" t="s">
        <v>17</v>
      </c>
      <c r="X21" s="16" t="s">
        <v>7652</v>
      </c>
      <c r="Y21" s="16" t="s">
        <v>17</v>
      </c>
      <c r="Z21" s="16" t="s">
        <v>6926</v>
      </c>
    </row>
    <row r="22" spans="1:26" x14ac:dyDescent="0.3">
      <c r="A22" s="16">
        <v>21</v>
      </c>
      <c r="B22" s="16" t="s">
        <v>7187</v>
      </c>
      <c r="C22" s="17">
        <v>9780070442726</v>
      </c>
      <c r="D22" s="17">
        <v>9780070442726</v>
      </c>
      <c r="E22" s="16" t="s">
        <v>7188</v>
      </c>
      <c r="F22" s="16" t="s">
        <v>17</v>
      </c>
      <c r="G22" s="16" t="s">
        <v>17</v>
      </c>
      <c r="H22" s="16" t="s">
        <v>17</v>
      </c>
      <c r="I22" s="16" t="s">
        <v>17</v>
      </c>
      <c r="J22" s="16" t="s">
        <v>17</v>
      </c>
      <c r="K22" s="16" t="s">
        <v>234</v>
      </c>
      <c r="L22" s="16" t="s">
        <v>7189</v>
      </c>
      <c r="M22" s="16" t="s">
        <v>7187</v>
      </c>
      <c r="N22" s="16" t="s">
        <v>17</v>
      </c>
      <c r="O22" s="16" t="s">
        <v>6921</v>
      </c>
      <c r="P22" s="16" t="s">
        <v>17</v>
      </c>
      <c r="Q22" s="16" t="s">
        <v>6922</v>
      </c>
      <c r="R22" s="16" t="s">
        <v>6923</v>
      </c>
      <c r="S22" s="16" t="s">
        <v>17</v>
      </c>
      <c r="T22" s="16" t="s">
        <v>7188</v>
      </c>
      <c r="U22" s="16" t="s">
        <v>17</v>
      </c>
      <c r="V22" s="16" t="s">
        <v>6929</v>
      </c>
      <c r="W22" s="16" t="s">
        <v>17</v>
      </c>
      <c r="X22" s="16" t="s">
        <v>7187</v>
      </c>
      <c r="Y22" s="16" t="s">
        <v>17</v>
      </c>
      <c r="Z22" s="16" t="s">
        <v>6926</v>
      </c>
    </row>
    <row r="23" spans="1:26" x14ac:dyDescent="0.3">
      <c r="A23" s="16">
        <v>22</v>
      </c>
      <c r="B23" s="16" t="s">
        <v>7834</v>
      </c>
      <c r="C23" s="17">
        <v>9781260118025</v>
      </c>
      <c r="D23" s="17">
        <v>9781260118025</v>
      </c>
      <c r="E23" s="16" t="s">
        <v>7835</v>
      </c>
      <c r="F23" s="16" t="s">
        <v>17</v>
      </c>
      <c r="G23" s="16" t="s">
        <v>17</v>
      </c>
      <c r="H23" s="16" t="s">
        <v>17</v>
      </c>
      <c r="I23" s="16" t="s">
        <v>17</v>
      </c>
      <c r="J23" s="16" t="s">
        <v>17</v>
      </c>
      <c r="K23" s="16" t="s">
        <v>815</v>
      </c>
      <c r="L23" s="16" t="s">
        <v>7836</v>
      </c>
      <c r="M23" s="16" t="s">
        <v>7834</v>
      </c>
      <c r="N23" s="16" t="s">
        <v>17</v>
      </c>
      <c r="O23" s="16" t="s">
        <v>6921</v>
      </c>
      <c r="P23" s="16" t="s">
        <v>17</v>
      </c>
      <c r="Q23" s="16" t="s">
        <v>6922</v>
      </c>
      <c r="R23" s="16" t="s">
        <v>6923</v>
      </c>
      <c r="S23" s="16" t="s">
        <v>17</v>
      </c>
      <c r="T23" s="16" t="s">
        <v>7835</v>
      </c>
      <c r="U23" s="16" t="s">
        <v>17</v>
      </c>
      <c r="V23" s="16" t="s">
        <v>6929</v>
      </c>
      <c r="W23" s="16" t="s">
        <v>17</v>
      </c>
      <c r="X23" s="16" t="s">
        <v>7834</v>
      </c>
      <c r="Y23" s="16" t="s">
        <v>17</v>
      </c>
      <c r="Z23" s="16" t="s">
        <v>6926</v>
      </c>
    </row>
    <row r="24" spans="1:26" x14ac:dyDescent="0.3">
      <c r="A24" s="16">
        <v>23</v>
      </c>
      <c r="B24" s="16" t="s">
        <v>7473</v>
      </c>
      <c r="C24" s="17">
        <v>9781260464344</v>
      </c>
      <c r="D24" s="17">
        <v>9781260464344</v>
      </c>
      <c r="E24" s="16" t="s">
        <v>7474</v>
      </c>
      <c r="F24" s="16" t="s">
        <v>17</v>
      </c>
      <c r="G24" s="16" t="s">
        <v>17</v>
      </c>
      <c r="H24" s="16" t="s">
        <v>17</v>
      </c>
      <c r="I24" s="16" t="s">
        <v>17</v>
      </c>
      <c r="J24" s="16" t="s">
        <v>17</v>
      </c>
      <c r="K24" s="16" t="s">
        <v>480</v>
      </c>
      <c r="L24" s="16" t="s">
        <v>7475</v>
      </c>
      <c r="M24" s="16" t="s">
        <v>7473</v>
      </c>
      <c r="N24" s="16" t="s">
        <v>17</v>
      </c>
      <c r="O24" s="16" t="s">
        <v>6921</v>
      </c>
      <c r="P24" s="16" t="s">
        <v>17</v>
      </c>
      <c r="Q24" s="16" t="s">
        <v>6922</v>
      </c>
      <c r="R24" s="16" t="s">
        <v>6923</v>
      </c>
      <c r="S24" s="16" t="s">
        <v>17</v>
      </c>
      <c r="T24" s="16" t="s">
        <v>7474</v>
      </c>
      <c r="U24" s="16" t="s">
        <v>17</v>
      </c>
      <c r="V24" s="16" t="s">
        <v>6929</v>
      </c>
      <c r="W24" s="16" t="s">
        <v>17</v>
      </c>
      <c r="X24" s="16" t="s">
        <v>7473</v>
      </c>
      <c r="Y24" s="16" t="s">
        <v>17</v>
      </c>
      <c r="Z24" s="16" t="s">
        <v>6926</v>
      </c>
    </row>
    <row r="25" spans="1:26" x14ac:dyDescent="0.3">
      <c r="A25" s="16">
        <v>24</v>
      </c>
      <c r="B25" s="16" t="s">
        <v>7901</v>
      </c>
      <c r="C25" s="17">
        <v>9780071370455</v>
      </c>
      <c r="D25" s="17">
        <v>9780071370455</v>
      </c>
      <c r="E25" s="16" t="s">
        <v>6920</v>
      </c>
      <c r="F25" s="16" t="s">
        <v>17</v>
      </c>
      <c r="G25" s="16" t="s">
        <v>17</v>
      </c>
      <c r="H25" s="16" t="s">
        <v>17</v>
      </c>
      <c r="I25" s="16" t="s">
        <v>17</v>
      </c>
      <c r="J25" s="16" t="s">
        <v>17</v>
      </c>
      <c r="K25" s="16" t="s">
        <v>903</v>
      </c>
      <c r="L25" s="16" t="s">
        <v>7902</v>
      </c>
      <c r="M25" s="16" t="s">
        <v>7901</v>
      </c>
      <c r="N25" s="16" t="s">
        <v>17</v>
      </c>
      <c r="O25" s="16" t="s">
        <v>6921</v>
      </c>
      <c r="P25" s="16" t="s">
        <v>17</v>
      </c>
      <c r="Q25" s="16" t="s">
        <v>6922</v>
      </c>
      <c r="R25" s="16" t="s">
        <v>6923</v>
      </c>
      <c r="S25" s="16" t="s">
        <v>17</v>
      </c>
      <c r="T25" s="16" t="s">
        <v>6920</v>
      </c>
      <c r="U25" s="16" t="s">
        <v>17</v>
      </c>
      <c r="V25" s="16" t="s">
        <v>6929</v>
      </c>
      <c r="W25" s="16" t="s">
        <v>17</v>
      </c>
      <c r="X25" s="16" t="s">
        <v>7901</v>
      </c>
      <c r="Y25" s="16" t="s">
        <v>17</v>
      </c>
      <c r="Z25" s="16" t="s">
        <v>6926</v>
      </c>
    </row>
    <row r="26" spans="1:26" x14ac:dyDescent="0.3">
      <c r="A26" s="16">
        <v>25</v>
      </c>
      <c r="B26" s="16" t="s">
        <v>8432</v>
      </c>
      <c r="C26" s="17">
        <v>9781265989316</v>
      </c>
      <c r="D26" s="17">
        <v>9781265989316</v>
      </c>
      <c r="E26" s="16" t="s">
        <v>8433</v>
      </c>
      <c r="F26" s="16" t="s">
        <v>17</v>
      </c>
      <c r="G26" s="16" t="s">
        <v>17</v>
      </c>
      <c r="H26" s="16" t="s">
        <v>17</v>
      </c>
      <c r="I26" s="16" t="s">
        <v>17</v>
      </c>
      <c r="J26" s="16" t="s">
        <v>17</v>
      </c>
      <c r="K26" s="16" t="s">
        <v>1618</v>
      </c>
      <c r="L26" s="16" t="s">
        <v>8434</v>
      </c>
      <c r="M26" s="16" t="s">
        <v>8432</v>
      </c>
      <c r="N26" s="16" t="s">
        <v>17</v>
      </c>
      <c r="O26" s="16" t="s">
        <v>6921</v>
      </c>
      <c r="P26" s="16" t="s">
        <v>17</v>
      </c>
      <c r="Q26" s="16" t="s">
        <v>6922</v>
      </c>
      <c r="R26" s="16" t="s">
        <v>6923</v>
      </c>
      <c r="S26" s="16" t="s">
        <v>17</v>
      </c>
      <c r="T26" s="16" t="s">
        <v>8433</v>
      </c>
      <c r="U26" s="16" t="s">
        <v>17</v>
      </c>
      <c r="V26" s="16" t="s">
        <v>6929</v>
      </c>
      <c r="W26" s="16" t="s">
        <v>17</v>
      </c>
      <c r="X26" s="16" t="s">
        <v>8432</v>
      </c>
      <c r="Y26" s="16" t="s">
        <v>17</v>
      </c>
      <c r="Z26" s="16" t="s">
        <v>6926</v>
      </c>
    </row>
    <row r="27" spans="1:26" x14ac:dyDescent="0.3">
      <c r="A27" s="16">
        <v>26</v>
      </c>
      <c r="B27" s="16" t="s">
        <v>8009</v>
      </c>
      <c r="C27" s="17">
        <v>9780071626231</v>
      </c>
      <c r="D27" s="17">
        <v>9780071626231</v>
      </c>
      <c r="E27" s="16" t="s">
        <v>6920</v>
      </c>
      <c r="F27" s="16" t="s">
        <v>17</v>
      </c>
      <c r="G27" s="16" t="s">
        <v>17</v>
      </c>
      <c r="H27" s="16" t="s">
        <v>17</v>
      </c>
      <c r="I27" s="16" t="s">
        <v>17</v>
      </c>
      <c r="J27" s="16" t="s">
        <v>17</v>
      </c>
      <c r="K27" s="16" t="s">
        <v>1070</v>
      </c>
      <c r="L27" s="16" t="s">
        <v>8010</v>
      </c>
      <c r="M27" s="16" t="s">
        <v>8009</v>
      </c>
      <c r="N27" s="16" t="s">
        <v>17</v>
      </c>
      <c r="O27" s="16" t="s">
        <v>6921</v>
      </c>
      <c r="P27" s="16" t="s">
        <v>17</v>
      </c>
      <c r="Q27" s="16" t="s">
        <v>6922</v>
      </c>
      <c r="R27" s="16" t="s">
        <v>6923</v>
      </c>
      <c r="S27" s="16" t="s">
        <v>17</v>
      </c>
      <c r="T27" s="16" t="s">
        <v>6920</v>
      </c>
      <c r="U27" s="16" t="s">
        <v>17</v>
      </c>
      <c r="V27" s="16" t="s">
        <v>6929</v>
      </c>
      <c r="W27" s="16" t="s">
        <v>17</v>
      </c>
      <c r="X27" s="16" t="s">
        <v>8009</v>
      </c>
      <c r="Y27" s="16" t="s">
        <v>17</v>
      </c>
      <c r="Z27" s="16" t="s">
        <v>6926</v>
      </c>
    </row>
    <row r="28" spans="1:26" x14ac:dyDescent="0.3">
      <c r="A28" s="16">
        <v>27</v>
      </c>
      <c r="B28" s="16" t="s">
        <v>8128</v>
      </c>
      <c r="C28" s="17">
        <v>9781260458930</v>
      </c>
      <c r="D28" s="17">
        <v>9781260458930</v>
      </c>
      <c r="E28" s="16" t="s">
        <v>8129</v>
      </c>
      <c r="F28" s="16" t="s">
        <v>17</v>
      </c>
      <c r="G28" s="16" t="s">
        <v>17</v>
      </c>
      <c r="H28" s="16" t="s">
        <v>17</v>
      </c>
      <c r="I28" s="16" t="s">
        <v>17</v>
      </c>
      <c r="J28" s="16" t="s">
        <v>17</v>
      </c>
      <c r="K28" s="16" t="s">
        <v>1220</v>
      </c>
      <c r="L28" s="16" t="s">
        <v>1219</v>
      </c>
      <c r="M28" s="16" t="s">
        <v>8128</v>
      </c>
      <c r="N28" s="16" t="s">
        <v>17</v>
      </c>
      <c r="O28" s="16" t="s">
        <v>6921</v>
      </c>
      <c r="P28" s="16" t="s">
        <v>17</v>
      </c>
      <c r="Q28" s="16" t="s">
        <v>6922</v>
      </c>
      <c r="R28" s="16" t="s">
        <v>6923</v>
      </c>
      <c r="S28" s="16" t="s">
        <v>17</v>
      </c>
      <c r="T28" s="16" t="s">
        <v>8129</v>
      </c>
      <c r="U28" s="16" t="s">
        <v>17</v>
      </c>
      <c r="V28" s="16" t="s">
        <v>6929</v>
      </c>
      <c r="W28" s="16" t="s">
        <v>17</v>
      </c>
      <c r="X28" s="16" t="s">
        <v>8128</v>
      </c>
      <c r="Y28" s="16" t="s">
        <v>17</v>
      </c>
      <c r="Z28" s="16" t="s">
        <v>6926</v>
      </c>
    </row>
    <row r="29" spans="1:26" x14ac:dyDescent="0.3">
      <c r="A29" s="16">
        <v>28</v>
      </c>
      <c r="B29" s="16" t="s">
        <v>8158</v>
      </c>
      <c r="C29" s="17">
        <v>9780071799171</v>
      </c>
      <c r="D29" s="17">
        <v>9780071799171</v>
      </c>
      <c r="E29" s="16" t="s">
        <v>7829</v>
      </c>
      <c r="F29" s="16" t="s">
        <v>17</v>
      </c>
      <c r="G29" s="16" t="s">
        <v>17</v>
      </c>
      <c r="H29" s="16" t="s">
        <v>17</v>
      </c>
      <c r="I29" s="16" t="s">
        <v>17</v>
      </c>
      <c r="J29" s="16" t="s">
        <v>17</v>
      </c>
      <c r="K29" s="16" t="s">
        <v>1244</v>
      </c>
      <c r="L29" s="16" t="s">
        <v>8159</v>
      </c>
      <c r="M29" s="16" t="s">
        <v>8158</v>
      </c>
      <c r="N29" s="16" t="s">
        <v>17</v>
      </c>
      <c r="O29" s="16" t="s">
        <v>6921</v>
      </c>
      <c r="P29" s="16" t="s">
        <v>17</v>
      </c>
      <c r="Q29" s="16" t="s">
        <v>6922</v>
      </c>
      <c r="R29" s="16" t="s">
        <v>6923</v>
      </c>
      <c r="S29" s="16" t="s">
        <v>17</v>
      </c>
      <c r="T29" s="16" t="s">
        <v>7829</v>
      </c>
      <c r="U29" s="16" t="s">
        <v>17</v>
      </c>
      <c r="V29" s="16" t="s">
        <v>7027</v>
      </c>
      <c r="W29" s="16" t="s">
        <v>17</v>
      </c>
      <c r="X29" s="16" t="s">
        <v>8158</v>
      </c>
      <c r="Y29" s="16" t="s">
        <v>17</v>
      </c>
      <c r="Z29" s="16" t="s">
        <v>6926</v>
      </c>
    </row>
    <row r="30" spans="1:26" x14ac:dyDescent="0.3">
      <c r="A30" s="16">
        <v>29</v>
      </c>
      <c r="B30" s="16" t="s">
        <v>8158</v>
      </c>
      <c r="C30" s="17">
        <v>9781266720222</v>
      </c>
      <c r="D30" s="17">
        <v>9781266720222</v>
      </c>
      <c r="E30" s="16" t="s">
        <v>8427</v>
      </c>
      <c r="F30" s="16" t="s">
        <v>17</v>
      </c>
      <c r="G30" s="16" t="s">
        <v>17</v>
      </c>
      <c r="H30" s="16" t="s">
        <v>17</v>
      </c>
      <c r="I30" s="16" t="s">
        <v>17</v>
      </c>
      <c r="J30" s="16" t="s">
        <v>17</v>
      </c>
      <c r="K30" s="16" t="s">
        <v>1614</v>
      </c>
      <c r="L30" s="16" t="s">
        <v>8428</v>
      </c>
      <c r="M30" s="16" t="s">
        <v>8158</v>
      </c>
      <c r="N30" s="16" t="s">
        <v>17</v>
      </c>
      <c r="O30" s="16" t="s">
        <v>6921</v>
      </c>
      <c r="P30" s="16" t="s">
        <v>17</v>
      </c>
      <c r="Q30" s="16" t="s">
        <v>6922</v>
      </c>
      <c r="R30" s="16" t="s">
        <v>6923</v>
      </c>
      <c r="S30" s="16" t="s">
        <v>17</v>
      </c>
      <c r="T30" s="16" t="s">
        <v>8427</v>
      </c>
      <c r="U30" s="16" t="s">
        <v>17</v>
      </c>
      <c r="V30" s="16" t="s">
        <v>7359</v>
      </c>
      <c r="W30" s="16" t="s">
        <v>17</v>
      </c>
      <c r="X30" s="16" t="s">
        <v>8158</v>
      </c>
      <c r="Y30" s="16" t="s">
        <v>17</v>
      </c>
      <c r="Z30" s="16" t="s">
        <v>6926</v>
      </c>
    </row>
    <row r="31" spans="1:26" x14ac:dyDescent="0.3">
      <c r="A31" s="16">
        <v>30</v>
      </c>
      <c r="B31" s="16" t="s">
        <v>7325</v>
      </c>
      <c r="C31" s="17">
        <v>9781260108217</v>
      </c>
      <c r="D31" s="17">
        <v>9781260108217</v>
      </c>
      <c r="E31" s="16" t="s">
        <v>7326</v>
      </c>
      <c r="F31" s="16" t="s">
        <v>17</v>
      </c>
      <c r="G31" s="16" t="s">
        <v>17</v>
      </c>
      <c r="H31" s="16" t="s">
        <v>17</v>
      </c>
      <c r="I31" s="16" t="s">
        <v>17</v>
      </c>
      <c r="J31" s="16" t="s">
        <v>17</v>
      </c>
      <c r="K31" s="16" t="s">
        <v>351</v>
      </c>
      <c r="L31" s="16" t="s">
        <v>7327</v>
      </c>
      <c r="M31" s="16" t="s">
        <v>7325</v>
      </c>
      <c r="N31" s="16" t="s">
        <v>17</v>
      </c>
      <c r="O31" s="16" t="s">
        <v>6921</v>
      </c>
      <c r="P31" s="16" t="s">
        <v>17</v>
      </c>
      <c r="Q31" s="16" t="s">
        <v>6922</v>
      </c>
      <c r="R31" s="16" t="s">
        <v>6923</v>
      </c>
      <c r="S31" s="16" t="s">
        <v>17</v>
      </c>
      <c r="T31" s="16" t="s">
        <v>7326</v>
      </c>
      <c r="U31" s="16" t="s">
        <v>17</v>
      </c>
      <c r="V31" s="16" t="s">
        <v>7145</v>
      </c>
      <c r="W31" s="16" t="s">
        <v>17</v>
      </c>
      <c r="X31" s="16" t="s">
        <v>7325</v>
      </c>
      <c r="Y31" s="16" t="s">
        <v>17</v>
      </c>
      <c r="Z31" s="16" t="s">
        <v>6926</v>
      </c>
    </row>
    <row r="32" spans="1:26" x14ac:dyDescent="0.3">
      <c r="A32" s="16">
        <v>31</v>
      </c>
      <c r="B32" s="16" t="s">
        <v>1383</v>
      </c>
      <c r="C32" s="17">
        <v>9780071799157</v>
      </c>
      <c r="D32" s="17">
        <v>9780071799157</v>
      </c>
      <c r="E32" s="16" t="s">
        <v>7216</v>
      </c>
      <c r="F32" s="16" t="s">
        <v>17</v>
      </c>
      <c r="G32" s="16" t="s">
        <v>17</v>
      </c>
      <c r="H32" s="16" t="s">
        <v>17</v>
      </c>
      <c r="I32" s="16" t="s">
        <v>17</v>
      </c>
      <c r="J32" s="16" t="s">
        <v>17</v>
      </c>
      <c r="K32" s="16" t="s">
        <v>1384</v>
      </c>
      <c r="L32" s="16" t="s">
        <v>350</v>
      </c>
      <c r="M32" s="16" t="s">
        <v>1383</v>
      </c>
      <c r="N32" s="16" t="s">
        <v>17</v>
      </c>
      <c r="O32" s="16" t="s">
        <v>6921</v>
      </c>
      <c r="P32" s="16" t="s">
        <v>17</v>
      </c>
      <c r="Q32" s="16" t="s">
        <v>6922</v>
      </c>
      <c r="R32" s="16" t="s">
        <v>6923</v>
      </c>
      <c r="S32" s="16" t="s">
        <v>17</v>
      </c>
      <c r="T32" s="16" t="s">
        <v>7216</v>
      </c>
      <c r="U32" s="16" t="s">
        <v>17</v>
      </c>
      <c r="V32" s="16" t="s">
        <v>7386</v>
      </c>
      <c r="W32" s="16" t="s">
        <v>17</v>
      </c>
      <c r="X32" s="16" t="s">
        <v>1383</v>
      </c>
      <c r="Y32" s="16" t="s">
        <v>17</v>
      </c>
      <c r="Z32" s="16" t="s">
        <v>6926</v>
      </c>
    </row>
    <row r="33" spans="1:26" x14ac:dyDescent="0.3">
      <c r="A33" s="16">
        <v>32</v>
      </c>
      <c r="B33" s="16" t="s">
        <v>7422</v>
      </c>
      <c r="C33" s="17">
        <v>9781260441055</v>
      </c>
      <c r="D33" s="17">
        <v>9781260441055</v>
      </c>
      <c r="E33" s="16" t="s">
        <v>7423</v>
      </c>
      <c r="F33" s="16" t="s">
        <v>17</v>
      </c>
      <c r="G33" s="16" t="s">
        <v>17</v>
      </c>
      <c r="H33" s="16" t="s">
        <v>17</v>
      </c>
      <c r="I33" s="16" t="s">
        <v>17</v>
      </c>
      <c r="J33" s="16" t="s">
        <v>17</v>
      </c>
      <c r="K33" s="16" t="s">
        <v>432</v>
      </c>
      <c r="L33" s="16" t="s">
        <v>7424</v>
      </c>
      <c r="M33" s="16" t="s">
        <v>7422</v>
      </c>
      <c r="N33" s="16" t="s">
        <v>17</v>
      </c>
      <c r="O33" s="16" t="s">
        <v>6921</v>
      </c>
      <c r="P33" s="16" t="s">
        <v>17</v>
      </c>
      <c r="Q33" s="16" t="s">
        <v>6922</v>
      </c>
      <c r="R33" s="16" t="s">
        <v>6923</v>
      </c>
      <c r="S33" s="16" t="s">
        <v>17</v>
      </c>
      <c r="T33" s="16" t="s">
        <v>7423</v>
      </c>
      <c r="U33" s="16" t="s">
        <v>17</v>
      </c>
      <c r="V33" s="16" t="s">
        <v>7027</v>
      </c>
      <c r="W33" s="16" t="s">
        <v>17</v>
      </c>
      <c r="X33" s="16" t="s">
        <v>7422</v>
      </c>
      <c r="Y33" s="16" t="s">
        <v>17</v>
      </c>
      <c r="Z33" s="16" t="s">
        <v>6926</v>
      </c>
    </row>
    <row r="34" spans="1:26" x14ac:dyDescent="0.3">
      <c r="A34" s="16">
        <v>33</v>
      </c>
      <c r="B34" s="16" t="s">
        <v>809</v>
      </c>
      <c r="C34" s="17">
        <v>9780071801508</v>
      </c>
      <c r="D34" s="17">
        <v>9780071801508</v>
      </c>
      <c r="E34" s="16" t="s">
        <v>7829</v>
      </c>
      <c r="F34" s="16" t="s">
        <v>17</v>
      </c>
      <c r="G34" s="16" t="s">
        <v>17</v>
      </c>
      <c r="H34" s="16" t="s">
        <v>17</v>
      </c>
      <c r="I34" s="16" t="s">
        <v>17</v>
      </c>
      <c r="J34" s="16" t="s">
        <v>17</v>
      </c>
      <c r="K34" s="16" t="s">
        <v>811</v>
      </c>
      <c r="L34" s="16" t="s">
        <v>810</v>
      </c>
      <c r="M34" s="16" t="s">
        <v>809</v>
      </c>
      <c r="N34" s="16" t="s">
        <v>17</v>
      </c>
      <c r="O34" s="16" t="s">
        <v>6921</v>
      </c>
      <c r="P34" s="16" t="s">
        <v>17</v>
      </c>
      <c r="Q34" s="16" t="s">
        <v>6922</v>
      </c>
      <c r="R34" s="16" t="s">
        <v>6923</v>
      </c>
      <c r="S34" s="16" t="s">
        <v>17</v>
      </c>
      <c r="T34" s="16" t="s">
        <v>7829</v>
      </c>
      <c r="U34" s="16" t="s">
        <v>17</v>
      </c>
      <c r="V34" s="16" t="s">
        <v>7830</v>
      </c>
      <c r="W34" s="16" t="s">
        <v>17</v>
      </c>
      <c r="X34" s="16" t="s">
        <v>809</v>
      </c>
      <c r="Y34" s="16" t="s">
        <v>17</v>
      </c>
      <c r="Z34" s="16" t="s">
        <v>6926</v>
      </c>
    </row>
    <row r="35" spans="1:26" x14ac:dyDescent="0.3">
      <c r="A35" s="16">
        <v>34</v>
      </c>
      <c r="B35" s="16" t="s">
        <v>7260</v>
      </c>
      <c r="C35" s="17">
        <v>9780071831130</v>
      </c>
      <c r="D35" s="17">
        <v>9780071831130</v>
      </c>
      <c r="E35" s="16" t="s">
        <v>7261</v>
      </c>
      <c r="F35" s="16" t="s">
        <v>17</v>
      </c>
      <c r="G35" s="16" t="s">
        <v>17</v>
      </c>
      <c r="H35" s="16" t="s">
        <v>17</v>
      </c>
      <c r="I35" s="16" t="s">
        <v>17</v>
      </c>
      <c r="J35" s="16" t="s">
        <v>17</v>
      </c>
      <c r="K35" s="16" t="s">
        <v>292</v>
      </c>
      <c r="L35" s="16" t="s">
        <v>291</v>
      </c>
      <c r="M35" s="16" t="s">
        <v>7260</v>
      </c>
      <c r="N35" s="16" t="s">
        <v>17</v>
      </c>
      <c r="O35" s="16" t="s">
        <v>6921</v>
      </c>
      <c r="P35" s="16" t="s">
        <v>17</v>
      </c>
      <c r="Q35" s="16" t="s">
        <v>6922</v>
      </c>
      <c r="R35" s="16" t="s">
        <v>6923</v>
      </c>
      <c r="S35" s="16" t="s">
        <v>17</v>
      </c>
      <c r="T35" s="16" t="s">
        <v>7261</v>
      </c>
      <c r="U35" s="16" t="s">
        <v>17</v>
      </c>
      <c r="V35" s="16" t="s">
        <v>6929</v>
      </c>
      <c r="W35" s="16" t="s">
        <v>17</v>
      </c>
      <c r="X35" s="16" t="s">
        <v>7260</v>
      </c>
      <c r="Y35" s="16" t="s">
        <v>17</v>
      </c>
      <c r="Z35" s="16" t="s">
        <v>6926</v>
      </c>
    </row>
    <row r="36" spans="1:26" x14ac:dyDescent="0.3">
      <c r="A36" s="16">
        <v>35</v>
      </c>
      <c r="B36" s="16" t="s">
        <v>8086</v>
      </c>
      <c r="C36" s="17">
        <v>9781259835704</v>
      </c>
      <c r="D36" s="17">
        <v>9781259835704</v>
      </c>
      <c r="E36" s="16" t="s">
        <v>7846</v>
      </c>
      <c r="F36" s="16" t="s">
        <v>17</v>
      </c>
      <c r="G36" s="16" t="s">
        <v>17</v>
      </c>
      <c r="H36" s="16" t="s">
        <v>17</v>
      </c>
      <c r="I36" s="16" t="s">
        <v>17</v>
      </c>
      <c r="J36" s="16" t="s">
        <v>17</v>
      </c>
      <c r="K36" s="16" t="s">
        <v>1174</v>
      </c>
      <c r="L36" s="16" t="s">
        <v>7534</v>
      </c>
      <c r="M36" s="16" t="s">
        <v>8086</v>
      </c>
      <c r="N36" s="16" t="s">
        <v>17</v>
      </c>
      <c r="O36" s="16" t="s">
        <v>6921</v>
      </c>
      <c r="P36" s="16" t="s">
        <v>17</v>
      </c>
      <c r="Q36" s="16" t="s">
        <v>6922</v>
      </c>
      <c r="R36" s="16" t="s">
        <v>6923</v>
      </c>
      <c r="S36" s="16" t="s">
        <v>17</v>
      </c>
      <c r="T36" s="16" t="s">
        <v>7846</v>
      </c>
      <c r="U36" s="16" t="s">
        <v>17</v>
      </c>
      <c r="V36" s="16" t="s">
        <v>7359</v>
      </c>
      <c r="W36" s="16" t="s">
        <v>17</v>
      </c>
      <c r="X36" s="16" t="s">
        <v>8086</v>
      </c>
      <c r="Y36" s="16" t="s">
        <v>17</v>
      </c>
      <c r="Z36" s="16" t="s">
        <v>6926</v>
      </c>
    </row>
    <row r="37" spans="1:26" x14ac:dyDescent="0.3">
      <c r="A37" s="16">
        <v>36</v>
      </c>
      <c r="B37" s="16" t="s">
        <v>7533</v>
      </c>
      <c r="C37" s="17">
        <v>9781264564460</v>
      </c>
      <c r="D37" s="17">
        <v>9781264564460</v>
      </c>
      <c r="E37" s="16" t="s">
        <v>7328</v>
      </c>
      <c r="F37" s="16" t="s">
        <v>17</v>
      </c>
      <c r="G37" s="16" t="s">
        <v>17</v>
      </c>
      <c r="H37" s="16" t="s">
        <v>17</v>
      </c>
      <c r="I37" s="16" t="s">
        <v>17</v>
      </c>
      <c r="J37" s="16" t="s">
        <v>17</v>
      </c>
      <c r="K37" s="16" t="s">
        <v>529</v>
      </c>
      <c r="L37" s="16" t="s">
        <v>7534</v>
      </c>
      <c r="M37" s="16" t="s">
        <v>7533</v>
      </c>
      <c r="N37" s="16" t="s">
        <v>17</v>
      </c>
      <c r="O37" s="16" t="s">
        <v>6921</v>
      </c>
      <c r="P37" s="16" t="s">
        <v>17</v>
      </c>
      <c r="Q37" s="16" t="s">
        <v>6922</v>
      </c>
      <c r="R37" s="16" t="s">
        <v>6923</v>
      </c>
      <c r="S37" s="16" t="s">
        <v>17</v>
      </c>
      <c r="T37" s="16" t="s">
        <v>7328</v>
      </c>
      <c r="U37" s="16" t="s">
        <v>17</v>
      </c>
      <c r="V37" s="16" t="s">
        <v>7173</v>
      </c>
      <c r="W37" s="16" t="s">
        <v>17</v>
      </c>
      <c r="X37" s="16" t="s">
        <v>7533</v>
      </c>
      <c r="Y37" s="16" t="s">
        <v>17</v>
      </c>
      <c r="Z37" s="16" t="s">
        <v>6926</v>
      </c>
    </row>
    <row r="38" spans="1:26" x14ac:dyDescent="0.3">
      <c r="A38" s="16">
        <v>37</v>
      </c>
      <c r="B38" s="16" t="s">
        <v>1005</v>
      </c>
      <c r="C38" s="17">
        <v>9780070704459</v>
      </c>
      <c r="D38" s="17">
        <v>9780070704459</v>
      </c>
      <c r="E38" s="16" t="s">
        <v>6991</v>
      </c>
      <c r="F38" s="16" t="s">
        <v>17</v>
      </c>
      <c r="G38" s="16" t="s">
        <v>17</v>
      </c>
      <c r="H38" s="16" t="s">
        <v>17</v>
      </c>
      <c r="I38" s="16" t="s">
        <v>17</v>
      </c>
      <c r="J38" s="16" t="s">
        <v>17</v>
      </c>
      <c r="K38" s="16" t="s">
        <v>1007</v>
      </c>
      <c r="L38" s="16" t="s">
        <v>1006</v>
      </c>
      <c r="M38" s="16" t="s">
        <v>1005</v>
      </c>
      <c r="N38" s="16" t="s">
        <v>17</v>
      </c>
      <c r="O38" s="16" t="s">
        <v>6921</v>
      </c>
      <c r="P38" s="16" t="s">
        <v>17</v>
      </c>
      <c r="Q38" s="16" t="s">
        <v>6922</v>
      </c>
      <c r="R38" s="16" t="s">
        <v>6923</v>
      </c>
      <c r="S38" s="16" t="s">
        <v>17</v>
      </c>
      <c r="T38" s="16" t="s">
        <v>6991</v>
      </c>
      <c r="U38" s="16" t="s">
        <v>17</v>
      </c>
      <c r="V38" s="16" t="s">
        <v>7049</v>
      </c>
      <c r="W38" s="16" t="s">
        <v>17</v>
      </c>
      <c r="X38" s="16" t="s">
        <v>1005</v>
      </c>
      <c r="Y38" s="16" t="s">
        <v>17</v>
      </c>
      <c r="Z38" s="16" t="s">
        <v>6926</v>
      </c>
    </row>
    <row r="39" spans="1:26" x14ac:dyDescent="0.3">
      <c r="A39" s="16">
        <v>38</v>
      </c>
      <c r="B39" s="16" t="s">
        <v>7972</v>
      </c>
      <c r="C39" s="17">
        <v>9780071775847</v>
      </c>
      <c r="D39" s="17">
        <v>9780071775847</v>
      </c>
      <c r="E39" s="16" t="s">
        <v>7314</v>
      </c>
      <c r="F39" s="16" t="s">
        <v>17</v>
      </c>
      <c r="G39" s="16" t="s">
        <v>17</v>
      </c>
      <c r="H39" s="16" t="s">
        <v>17</v>
      </c>
      <c r="I39" s="16" t="s">
        <v>17</v>
      </c>
      <c r="J39" s="16" t="s">
        <v>17</v>
      </c>
      <c r="K39" s="16" t="s">
        <v>1008</v>
      </c>
      <c r="L39" s="16" t="s">
        <v>7973</v>
      </c>
      <c r="M39" s="16" t="s">
        <v>7972</v>
      </c>
      <c r="N39" s="16" t="s">
        <v>17</v>
      </c>
      <c r="O39" s="16" t="s">
        <v>6921</v>
      </c>
      <c r="P39" s="16" t="s">
        <v>17</v>
      </c>
      <c r="Q39" s="16" t="s">
        <v>6922</v>
      </c>
      <c r="R39" s="16" t="s">
        <v>6923</v>
      </c>
      <c r="S39" s="16" t="s">
        <v>17</v>
      </c>
      <c r="T39" s="16" t="s">
        <v>7314</v>
      </c>
      <c r="U39" s="16" t="s">
        <v>17</v>
      </c>
      <c r="V39" s="16" t="s">
        <v>6949</v>
      </c>
      <c r="W39" s="16" t="s">
        <v>17</v>
      </c>
      <c r="X39" s="16" t="s">
        <v>7972</v>
      </c>
      <c r="Y39" s="16" t="s">
        <v>17</v>
      </c>
      <c r="Z39" s="16" t="s">
        <v>6926</v>
      </c>
    </row>
    <row r="40" spans="1:26" x14ac:dyDescent="0.3">
      <c r="A40" s="16">
        <v>39</v>
      </c>
      <c r="B40" s="16" t="s">
        <v>7926</v>
      </c>
      <c r="C40" s="17">
        <v>9781260143324</v>
      </c>
      <c r="D40" s="17">
        <v>9781260143324</v>
      </c>
      <c r="E40" s="16" t="s">
        <v>7326</v>
      </c>
      <c r="F40" s="16" t="s">
        <v>17</v>
      </c>
      <c r="G40" s="16" t="s">
        <v>17</v>
      </c>
      <c r="H40" s="16" t="s">
        <v>17</v>
      </c>
      <c r="I40" s="16" t="s">
        <v>17</v>
      </c>
      <c r="J40" s="16" t="s">
        <v>17</v>
      </c>
      <c r="K40" s="16" t="s">
        <v>942</v>
      </c>
      <c r="L40" s="16" t="s">
        <v>7927</v>
      </c>
      <c r="M40" s="16" t="s">
        <v>7926</v>
      </c>
      <c r="N40" s="16" t="s">
        <v>17</v>
      </c>
      <c r="O40" s="16" t="s">
        <v>6921</v>
      </c>
      <c r="P40" s="16" t="s">
        <v>17</v>
      </c>
      <c r="Q40" s="16" t="s">
        <v>6922</v>
      </c>
      <c r="R40" s="16" t="s">
        <v>6923</v>
      </c>
      <c r="S40" s="16" t="s">
        <v>17</v>
      </c>
      <c r="T40" s="16" t="s">
        <v>7326</v>
      </c>
      <c r="U40" s="16" t="s">
        <v>17</v>
      </c>
      <c r="V40" s="16" t="s">
        <v>7145</v>
      </c>
      <c r="W40" s="16" t="s">
        <v>17</v>
      </c>
      <c r="X40" s="16" t="s">
        <v>7926</v>
      </c>
      <c r="Y40" s="16" t="s">
        <v>17</v>
      </c>
      <c r="Z40" s="16" t="s">
        <v>6926</v>
      </c>
    </row>
    <row r="41" spans="1:26" x14ac:dyDescent="0.3">
      <c r="A41" s="16">
        <v>40</v>
      </c>
      <c r="B41" s="16" t="s">
        <v>1134</v>
      </c>
      <c r="C41" s="17">
        <v>9780071750240</v>
      </c>
      <c r="D41" s="17">
        <v>9780071750240</v>
      </c>
      <c r="E41" s="16" t="s">
        <v>7054</v>
      </c>
      <c r="F41" s="16" t="s">
        <v>17</v>
      </c>
      <c r="G41" s="16" t="s">
        <v>17</v>
      </c>
      <c r="H41" s="16" t="s">
        <v>17</v>
      </c>
      <c r="I41" s="16" t="s">
        <v>17</v>
      </c>
      <c r="J41" s="16" t="s">
        <v>17</v>
      </c>
      <c r="K41" s="16" t="s">
        <v>1136</v>
      </c>
      <c r="L41" s="16" t="s">
        <v>1135</v>
      </c>
      <c r="M41" s="16" t="s">
        <v>1134</v>
      </c>
      <c r="N41" s="16" t="s">
        <v>17</v>
      </c>
      <c r="O41" s="16" t="s">
        <v>6921</v>
      </c>
      <c r="P41" s="16" t="s">
        <v>17</v>
      </c>
      <c r="Q41" s="16" t="s">
        <v>6922</v>
      </c>
      <c r="R41" s="16" t="s">
        <v>6923</v>
      </c>
      <c r="S41" s="16" t="s">
        <v>17</v>
      </c>
      <c r="T41" s="16" t="s">
        <v>7054</v>
      </c>
      <c r="U41" s="16" t="s">
        <v>17</v>
      </c>
      <c r="V41" s="16" t="s">
        <v>8058</v>
      </c>
      <c r="W41" s="16" t="s">
        <v>17</v>
      </c>
      <c r="X41" s="16" t="s">
        <v>1134</v>
      </c>
      <c r="Y41" s="16" t="s">
        <v>17</v>
      </c>
      <c r="Z41" s="16" t="s">
        <v>6926</v>
      </c>
    </row>
    <row r="42" spans="1:26" x14ac:dyDescent="0.3">
      <c r="A42" s="16">
        <v>41</v>
      </c>
      <c r="B42" s="16" t="s">
        <v>7859</v>
      </c>
      <c r="C42" s="17">
        <v>9780071770583</v>
      </c>
      <c r="D42" s="17">
        <v>9780071770583</v>
      </c>
      <c r="E42" s="16" t="s">
        <v>7860</v>
      </c>
      <c r="F42" s="16" t="s">
        <v>17</v>
      </c>
      <c r="G42" s="16" t="s">
        <v>17</v>
      </c>
      <c r="H42" s="16" t="s">
        <v>17</v>
      </c>
      <c r="I42" s="16" t="s">
        <v>17</v>
      </c>
      <c r="J42" s="16" t="s">
        <v>17</v>
      </c>
      <c r="K42" s="16" t="s">
        <v>852</v>
      </c>
      <c r="L42" s="16" t="s">
        <v>7861</v>
      </c>
      <c r="M42" s="16" t="s">
        <v>7859</v>
      </c>
      <c r="N42" s="16" t="s">
        <v>17</v>
      </c>
      <c r="O42" s="16" t="s">
        <v>6921</v>
      </c>
      <c r="P42" s="16" t="s">
        <v>17</v>
      </c>
      <c r="Q42" s="16" t="s">
        <v>6922</v>
      </c>
      <c r="R42" s="16" t="s">
        <v>6923</v>
      </c>
      <c r="S42" s="16" t="s">
        <v>17</v>
      </c>
      <c r="T42" s="16" t="s">
        <v>7860</v>
      </c>
      <c r="U42" s="16" t="s">
        <v>17</v>
      </c>
      <c r="V42" s="16" t="s">
        <v>6924</v>
      </c>
      <c r="W42" s="16" t="s">
        <v>17</v>
      </c>
      <c r="X42" s="16" t="s">
        <v>7859</v>
      </c>
      <c r="Y42" s="16" t="s">
        <v>17</v>
      </c>
      <c r="Z42" s="16" t="s">
        <v>6926</v>
      </c>
    </row>
    <row r="43" spans="1:26" x14ac:dyDescent="0.3">
      <c r="A43" s="16">
        <v>42</v>
      </c>
      <c r="B43" s="16" t="s">
        <v>8267</v>
      </c>
      <c r="C43" s="17">
        <v>9780071794336</v>
      </c>
      <c r="D43" s="17">
        <v>9780071794336</v>
      </c>
      <c r="E43" s="16" t="s">
        <v>8268</v>
      </c>
      <c r="F43" s="16" t="s">
        <v>17</v>
      </c>
      <c r="G43" s="16" t="s">
        <v>17</v>
      </c>
      <c r="H43" s="16" t="s">
        <v>17</v>
      </c>
      <c r="I43" s="16" t="s">
        <v>17</v>
      </c>
      <c r="J43" s="16" t="s">
        <v>17</v>
      </c>
      <c r="K43" s="16" t="s">
        <v>1337</v>
      </c>
      <c r="L43" s="16" t="s">
        <v>667</v>
      </c>
      <c r="M43" s="16" t="s">
        <v>8267</v>
      </c>
      <c r="N43" s="16" t="s">
        <v>17</v>
      </c>
      <c r="O43" s="16" t="s">
        <v>6921</v>
      </c>
      <c r="P43" s="16" t="s">
        <v>17</v>
      </c>
      <c r="Q43" s="16" t="s">
        <v>6922</v>
      </c>
      <c r="R43" s="16" t="s">
        <v>6923</v>
      </c>
      <c r="S43" s="16" t="s">
        <v>17</v>
      </c>
      <c r="T43" s="16" t="s">
        <v>8268</v>
      </c>
      <c r="U43" s="16" t="s">
        <v>17</v>
      </c>
      <c r="V43" s="16" t="s">
        <v>6924</v>
      </c>
      <c r="W43" s="16" t="s">
        <v>17</v>
      </c>
      <c r="X43" s="16" t="s">
        <v>8267</v>
      </c>
      <c r="Y43" s="16" t="s">
        <v>17</v>
      </c>
      <c r="Z43" s="16" t="s">
        <v>6926</v>
      </c>
    </row>
    <row r="44" spans="1:26" x14ac:dyDescent="0.3">
      <c r="A44" s="16">
        <v>43</v>
      </c>
      <c r="B44" s="16" t="s">
        <v>6933</v>
      </c>
      <c r="C44" s="17">
        <v>9780071621472</v>
      </c>
      <c r="D44" s="17">
        <v>9780071621472</v>
      </c>
      <c r="E44" s="16" t="s">
        <v>6920</v>
      </c>
      <c r="F44" s="16" t="s">
        <v>17</v>
      </c>
      <c r="G44" s="16" t="s">
        <v>17</v>
      </c>
      <c r="H44" s="16" t="s">
        <v>17</v>
      </c>
      <c r="I44" s="16" t="s">
        <v>17</v>
      </c>
      <c r="J44" s="16" t="s">
        <v>17</v>
      </c>
      <c r="K44" s="16" t="s">
        <v>23</v>
      </c>
      <c r="L44" s="16" t="s">
        <v>22</v>
      </c>
      <c r="M44" s="16" t="s">
        <v>6933</v>
      </c>
      <c r="N44" s="16" t="s">
        <v>17</v>
      </c>
      <c r="O44" s="16" t="s">
        <v>6921</v>
      </c>
      <c r="P44" s="16" t="s">
        <v>17</v>
      </c>
      <c r="Q44" s="16" t="s">
        <v>6922</v>
      </c>
      <c r="R44" s="16" t="s">
        <v>6923</v>
      </c>
      <c r="S44" s="16" t="s">
        <v>17</v>
      </c>
      <c r="T44" s="16" t="s">
        <v>6920</v>
      </c>
      <c r="U44" s="16" t="s">
        <v>17</v>
      </c>
      <c r="V44" s="16" t="s">
        <v>6929</v>
      </c>
      <c r="W44" s="16" t="s">
        <v>17</v>
      </c>
      <c r="X44" s="16" t="s">
        <v>6933</v>
      </c>
      <c r="Y44" s="16" t="s">
        <v>17</v>
      </c>
      <c r="Z44" s="16" t="s">
        <v>6926</v>
      </c>
    </row>
    <row r="45" spans="1:26" x14ac:dyDescent="0.3">
      <c r="A45" s="16">
        <v>44</v>
      </c>
      <c r="B45" s="16" t="s">
        <v>8364</v>
      </c>
      <c r="C45" s="17">
        <v>9780071591225</v>
      </c>
      <c r="D45" s="17">
        <v>9780071591225</v>
      </c>
      <c r="E45" s="16" t="s">
        <v>6920</v>
      </c>
      <c r="F45" s="16" t="s">
        <v>17</v>
      </c>
      <c r="G45" s="16" t="s">
        <v>17</v>
      </c>
      <c r="H45" s="16" t="s">
        <v>17</v>
      </c>
      <c r="I45" s="16" t="s">
        <v>17</v>
      </c>
      <c r="J45" s="16" t="s">
        <v>17</v>
      </c>
      <c r="K45" s="16" t="s">
        <v>1489</v>
      </c>
      <c r="L45" s="16" t="s">
        <v>187</v>
      </c>
      <c r="M45" s="16" t="s">
        <v>8364</v>
      </c>
      <c r="N45" s="16" t="s">
        <v>17</v>
      </c>
      <c r="O45" s="16" t="s">
        <v>6921</v>
      </c>
      <c r="P45" s="16" t="s">
        <v>17</v>
      </c>
      <c r="Q45" s="16" t="s">
        <v>6922</v>
      </c>
      <c r="R45" s="16" t="s">
        <v>6923</v>
      </c>
      <c r="S45" s="16" t="s">
        <v>17</v>
      </c>
      <c r="T45" s="16" t="s">
        <v>6920</v>
      </c>
      <c r="U45" s="16" t="s">
        <v>17</v>
      </c>
      <c r="V45" s="16" t="s">
        <v>6924</v>
      </c>
      <c r="W45" s="16" t="s">
        <v>17</v>
      </c>
      <c r="X45" s="16" t="s">
        <v>8364</v>
      </c>
      <c r="Y45" s="16" t="s">
        <v>17</v>
      </c>
      <c r="Z45" s="16" t="s">
        <v>6926</v>
      </c>
    </row>
    <row r="46" spans="1:26" x14ac:dyDescent="0.3">
      <c r="A46" s="16">
        <v>45</v>
      </c>
      <c r="B46" s="16" t="s">
        <v>7699</v>
      </c>
      <c r="C46" s="17">
        <v>9780071719513</v>
      </c>
      <c r="D46" s="17">
        <v>9780071719513</v>
      </c>
      <c r="E46" s="16" t="s">
        <v>7700</v>
      </c>
      <c r="F46" s="16" t="s">
        <v>17</v>
      </c>
      <c r="G46" s="16" t="s">
        <v>17</v>
      </c>
      <c r="H46" s="16" t="s">
        <v>17</v>
      </c>
      <c r="I46" s="16" t="s">
        <v>17</v>
      </c>
      <c r="J46" s="16" t="s">
        <v>17</v>
      </c>
      <c r="K46" s="16" t="s">
        <v>690</v>
      </c>
      <c r="L46" s="16" t="s">
        <v>7701</v>
      </c>
      <c r="M46" s="16" t="s">
        <v>7699</v>
      </c>
      <c r="N46" s="16" t="s">
        <v>17</v>
      </c>
      <c r="O46" s="16" t="s">
        <v>6921</v>
      </c>
      <c r="P46" s="16" t="s">
        <v>17</v>
      </c>
      <c r="Q46" s="16" t="s">
        <v>6922</v>
      </c>
      <c r="R46" s="16" t="s">
        <v>6923</v>
      </c>
      <c r="S46" s="16" t="s">
        <v>17</v>
      </c>
      <c r="T46" s="16" t="s">
        <v>7700</v>
      </c>
      <c r="U46" s="16" t="s">
        <v>17</v>
      </c>
      <c r="V46" s="16" t="s">
        <v>6929</v>
      </c>
      <c r="W46" s="16" t="s">
        <v>17</v>
      </c>
      <c r="X46" s="16" t="s">
        <v>7699</v>
      </c>
      <c r="Y46" s="16" t="s">
        <v>17</v>
      </c>
      <c r="Z46" s="16" t="s">
        <v>6926</v>
      </c>
    </row>
    <row r="47" spans="1:26" x14ac:dyDescent="0.3">
      <c r="A47" s="16">
        <v>46</v>
      </c>
      <c r="B47" s="16" t="s">
        <v>7670</v>
      </c>
      <c r="C47" s="17">
        <v>9780070704442</v>
      </c>
      <c r="D47" s="17">
        <v>9780070704442</v>
      </c>
      <c r="E47" s="16" t="s">
        <v>6991</v>
      </c>
      <c r="F47" s="16" t="s">
        <v>17</v>
      </c>
      <c r="G47" s="16" t="s">
        <v>17</v>
      </c>
      <c r="H47" s="16" t="s">
        <v>17</v>
      </c>
      <c r="I47" s="16" t="s">
        <v>17</v>
      </c>
      <c r="J47" s="16" t="s">
        <v>17</v>
      </c>
      <c r="K47" s="16" t="s">
        <v>660</v>
      </c>
      <c r="L47" s="16" t="s">
        <v>7671</v>
      </c>
      <c r="M47" s="16" t="s">
        <v>7670</v>
      </c>
      <c r="N47" s="16" t="s">
        <v>17</v>
      </c>
      <c r="O47" s="16" t="s">
        <v>6921</v>
      </c>
      <c r="P47" s="16" t="s">
        <v>17</v>
      </c>
      <c r="Q47" s="16" t="s">
        <v>6922</v>
      </c>
      <c r="R47" s="16" t="s">
        <v>6923</v>
      </c>
      <c r="S47" s="16" t="s">
        <v>17</v>
      </c>
      <c r="T47" s="16" t="s">
        <v>6991</v>
      </c>
      <c r="U47" s="16" t="s">
        <v>17</v>
      </c>
      <c r="V47" s="16" t="s">
        <v>6929</v>
      </c>
      <c r="W47" s="16" t="s">
        <v>17</v>
      </c>
      <c r="X47" s="16" t="s">
        <v>7670</v>
      </c>
      <c r="Y47" s="16" t="s">
        <v>17</v>
      </c>
      <c r="Z47" s="16" t="s">
        <v>6926</v>
      </c>
    </row>
    <row r="48" spans="1:26" x14ac:dyDescent="0.3">
      <c r="A48" s="16">
        <v>47</v>
      </c>
      <c r="B48" s="16" t="s">
        <v>7946</v>
      </c>
      <c r="C48" s="17">
        <v>9781260457919</v>
      </c>
      <c r="D48" s="17">
        <v>9781260457919</v>
      </c>
      <c r="E48" s="16" t="s">
        <v>7947</v>
      </c>
      <c r="F48" s="16" t="s">
        <v>17</v>
      </c>
      <c r="G48" s="16" t="s">
        <v>17</v>
      </c>
      <c r="H48" s="16" t="s">
        <v>17</v>
      </c>
      <c r="I48" s="16" t="s">
        <v>17</v>
      </c>
      <c r="J48" s="16" t="s">
        <v>17</v>
      </c>
      <c r="K48" s="16" t="s">
        <v>969</v>
      </c>
      <c r="L48" s="16" t="s">
        <v>7273</v>
      </c>
      <c r="M48" s="16" t="s">
        <v>7946</v>
      </c>
      <c r="N48" s="16" t="s">
        <v>17</v>
      </c>
      <c r="O48" s="16" t="s">
        <v>6921</v>
      </c>
      <c r="P48" s="16" t="s">
        <v>17</v>
      </c>
      <c r="Q48" s="16" t="s">
        <v>6922</v>
      </c>
      <c r="R48" s="16" t="s">
        <v>6923</v>
      </c>
      <c r="S48" s="16" t="s">
        <v>17</v>
      </c>
      <c r="T48" s="16" t="s">
        <v>7947</v>
      </c>
      <c r="U48" s="16" t="s">
        <v>17</v>
      </c>
      <c r="V48" s="16" t="s">
        <v>7948</v>
      </c>
      <c r="W48" s="16" t="s">
        <v>17</v>
      </c>
      <c r="X48" s="16" t="s">
        <v>7946</v>
      </c>
      <c r="Y48" s="16" t="s">
        <v>17</v>
      </c>
      <c r="Z48" s="16" t="s">
        <v>6926</v>
      </c>
    </row>
    <row r="49" spans="1:26" x14ac:dyDescent="0.3">
      <c r="A49" s="16">
        <v>48</v>
      </c>
      <c r="B49" s="16" t="s">
        <v>868</v>
      </c>
      <c r="C49" s="17">
        <v>9780071798808</v>
      </c>
      <c r="D49" s="17">
        <v>9780071798808</v>
      </c>
      <c r="E49" s="16" t="s">
        <v>7871</v>
      </c>
      <c r="F49" s="16" t="s">
        <v>17</v>
      </c>
      <c r="G49" s="16" t="s">
        <v>17</v>
      </c>
      <c r="H49" s="16" t="s">
        <v>17</v>
      </c>
      <c r="I49" s="16" t="s">
        <v>17</v>
      </c>
      <c r="J49" s="16" t="s">
        <v>17</v>
      </c>
      <c r="K49" s="16" t="s">
        <v>870</v>
      </c>
      <c r="L49" s="16" t="s">
        <v>869</v>
      </c>
      <c r="M49" s="16" t="s">
        <v>868</v>
      </c>
      <c r="N49" s="16" t="s">
        <v>17</v>
      </c>
      <c r="O49" s="16" t="s">
        <v>6921</v>
      </c>
      <c r="P49" s="16" t="s">
        <v>17</v>
      </c>
      <c r="Q49" s="16" t="s">
        <v>6922</v>
      </c>
      <c r="R49" s="16" t="s">
        <v>6923</v>
      </c>
      <c r="S49" s="16" t="s">
        <v>17</v>
      </c>
      <c r="T49" s="16" t="s">
        <v>7871</v>
      </c>
      <c r="U49" s="16" t="s">
        <v>17</v>
      </c>
      <c r="V49" s="16" t="s">
        <v>7872</v>
      </c>
      <c r="W49" s="16" t="s">
        <v>17</v>
      </c>
      <c r="X49" s="16" t="s">
        <v>868</v>
      </c>
      <c r="Y49" s="16" t="s">
        <v>17</v>
      </c>
      <c r="Z49" s="16" t="s">
        <v>6926</v>
      </c>
    </row>
    <row r="50" spans="1:26" x14ac:dyDescent="0.3">
      <c r="A50" s="16">
        <v>49</v>
      </c>
      <c r="B50" s="16" t="s">
        <v>7781</v>
      </c>
      <c r="C50" s="17">
        <v>9780071740111</v>
      </c>
      <c r="D50" s="17">
        <v>9780071740111</v>
      </c>
      <c r="E50" s="16" t="s">
        <v>7782</v>
      </c>
      <c r="F50" s="16" t="s">
        <v>17</v>
      </c>
      <c r="G50" s="16" t="s">
        <v>17</v>
      </c>
      <c r="H50" s="16" t="s">
        <v>17</v>
      </c>
      <c r="I50" s="16" t="s">
        <v>17</v>
      </c>
      <c r="J50" s="16" t="s">
        <v>17</v>
      </c>
      <c r="K50" s="16" t="s">
        <v>759</v>
      </c>
      <c r="L50" s="16" t="s">
        <v>758</v>
      </c>
      <c r="M50" s="16" t="s">
        <v>7781</v>
      </c>
      <c r="N50" s="16" t="s">
        <v>17</v>
      </c>
      <c r="O50" s="16" t="s">
        <v>6921</v>
      </c>
      <c r="P50" s="16" t="s">
        <v>17</v>
      </c>
      <c r="Q50" s="16" t="s">
        <v>6922</v>
      </c>
      <c r="R50" s="16" t="s">
        <v>6923</v>
      </c>
      <c r="S50" s="16" t="s">
        <v>17</v>
      </c>
      <c r="T50" s="16" t="s">
        <v>7782</v>
      </c>
      <c r="U50" s="16" t="s">
        <v>17</v>
      </c>
      <c r="V50" s="16" t="s">
        <v>6929</v>
      </c>
      <c r="W50" s="16" t="s">
        <v>17</v>
      </c>
      <c r="X50" s="16" t="s">
        <v>7781</v>
      </c>
      <c r="Y50" s="16" t="s">
        <v>17</v>
      </c>
      <c r="Z50" s="16" t="s">
        <v>6926</v>
      </c>
    </row>
    <row r="51" spans="1:26" x14ac:dyDescent="0.3">
      <c r="A51" s="16">
        <v>50</v>
      </c>
      <c r="B51" s="16" t="s">
        <v>3660</v>
      </c>
      <c r="C51" s="17">
        <v>9780071816717</v>
      </c>
      <c r="D51" s="17">
        <v>9780071816717</v>
      </c>
      <c r="E51" s="16" t="s">
        <v>7263</v>
      </c>
      <c r="F51" s="16" t="s">
        <v>17</v>
      </c>
      <c r="G51" s="16" t="s">
        <v>17</v>
      </c>
      <c r="H51" s="16" t="s">
        <v>17</v>
      </c>
      <c r="I51" s="16" t="s">
        <v>17</v>
      </c>
      <c r="J51" s="16" t="s">
        <v>17</v>
      </c>
      <c r="K51" s="16" t="s">
        <v>925</v>
      </c>
      <c r="L51" s="16" t="s">
        <v>7142</v>
      </c>
      <c r="M51" s="16" t="s">
        <v>3660</v>
      </c>
      <c r="N51" s="16" t="s">
        <v>17</v>
      </c>
      <c r="O51" s="16" t="s">
        <v>6921</v>
      </c>
      <c r="P51" s="16" t="s">
        <v>17</v>
      </c>
      <c r="Q51" s="16" t="s">
        <v>6922</v>
      </c>
      <c r="R51" s="16" t="s">
        <v>6923</v>
      </c>
      <c r="S51" s="16" t="s">
        <v>17</v>
      </c>
      <c r="T51" s="16" t="s">
        <v>7263</v>
      </c>
      <c r="U51" s="16" t="s">
        <v>17</v>
      </c>
      <c r="V51" s="16" t="s">
        <v>6929</v>
      </c>
      <c r="W51" s="16" t="s">
        <v>17</v>
      </c>
      <c r="X51" s="16" t="s">
        <v>3660</v>
      </c>
      <c r="Y51" s="16" t="s">
        <v>17</v>
      </c>
      <c r="Z51" s="16" t="s">
        <v>6926</v>
      </c>
    </row>
    <row r="52" spans="1:26" x14ac:dyDescent="0.3">
      <c r="A52" s="16">
        <v>51</v>
      </c>
      <c r="B52" s="16" t="s">
        <v>7231</v>
      </c>
      <c r="C52" s="17">
        <v>9780071826631</v>
      </c>
      <c r="D52" s="17">
        <v>9780071826631</v>
      </c>
      <c r="E52" s="16" t="s">
        <v>7185</v>
      </c>
      <c r="F52" s="16" t="s">
        <v>17</v>
      </c>
      <c r="G52" s="16" t="s">
        <v>17</v>
      </c>
      <c r="H52" s="16" t="s">
        <v>17</v>
      </c>
      <c r="I52" s="16" t="s">
        <v>17</v>
      </c>
      <c r="J52" s="16" t="s">
        <v>17</v>
      </c>
      <c r="K52" s="16" t="s">
        <v>267</v>
      </c>
      <c r="L52" s="16" t="s">
        <v>7232</v>
      </c>
      <c r="M52" s="16" t="s">
        <v>7231</v>
      </c>
      <c r="N52" s="16" t="s">
        <v>17</v>
      </c>
      <c r="O52" s="16" t="s">
        <v>6921</v>
      </c>
      <c r="P52" s="16" t="s">
        <v>17</v>
      </c>
      <c r="Q52" s="16" t="s">
        <v>6922</v>
      </c>
      <c r="R52" s="16" t="s">
        <v>6923</v>
      </c>
      <c r="S52" s="16" t="s">
        <v>17</v>
      </c>
      <c r="T52" s="16" t="s">
        <v>7185</v>
      </c>
      <c r="U52" s="16" t="s">
        <v>17</v>
      </c>
      <c r="V52" s="16" t="s">
        <v>6924</v>
      </c>
      <c r="W52" s="16" t="s">
        <v>17</v>
      </c>
      <c r="X52" s="16" t="s">
        <v>7231</v>
      </c>
      <c r="Y52" s="16" t="s">
        <v>17</v>
      </c>
      <c r="Z52" s="16" t="s">
        <v>6926</v>
      </c>
    </row>
    <row r="53" spans="1:26" x14ac:dyDescent="0.3">
      <c r="A53" s="16">
        <v>52</v>
      </c>
      <c r="B53" s="16" t="s">
        <v>1015</v>
      </c>
      <c r="C53" s="17">
        <v>9780071608930</v>
      </c>
      <c r="D53" s="17">
        <v>9780071608930</v>
      </c>
      <c r="E53" s="16" t="s">
        <v>7623</v>
      </c>
      <c r="F53" s="16" t="s">
        <v>17</v>
      </c>
      <c r="G53" s="16" t="s">
        <v>17</v>
      </c>
      <c r="H53" s="16" t="s">
        <v>17</v>
      </c>
      <c r="I53" s="16" t="s">
        <v>17</v>
      </c>
      <c r="J53" s="16" t="s">
        <v>17</v>
      </c>
      <c r="K53" s="16" t="s">
        <v>1017</v>
      </c>
      <c r="L53" s="16" t="s">
        <v>1016</v>
      </c>
      <c r="M53" s="16" t="s">
        <v>1015</v>
      </c>
      <c r="N53" s="16" t="s">
        <v>17</v>
      </c>
      <c r="O53" s="16" t="s">
        <v>6921</v>
      </c>
      <c r="P53" s="16" t="s">
        <v>17</v>
      </c>
      <c r="Q53" s="16" t="s">
        <v>6922</v>
      </c>
      <c r="R53" s="16" t="s">
        <v>6923</v>
      </c>
      <c r="S53" s="16" t="s">
        <v>17</v>
      </c>
      <c r="T53" s="16" t="s">
        <v>7623</v>
      </c>
      <c r="U53" s="16" t="s">
        <v>17</v>
      </c>
      <c r="V53" s="16" t="s">
        <v>7049</v>
      </c>
      <c r="W53" s="16" t="s">
        <v>17</v>
      </c>
      <c r="X53" s="16" t="s">
        <v>1015</v>
      </c>
      <c r="Y53" s="16" t="s">
        <v>17</v>
      </c>
      <c r="Z53" s="16" t="s">
        <v>6926</v>
      </c>
    </row>
    <row r="54" spans="1:26" x14ac:dyDescent="0.3">
      <c r="A54" s="16">
        <v>53</v>
      </c>
      <c r="B54" s="16" t="s">
        <v>8020</v>
      </c>
      <c r="C54" s="17">
        <v>9781260441451</v>
      </c>
      <c r="D54" s="17">
        <v>9781260441451</v>
      </c>
      <c r="E54" s="16" t="s">
        <v>8021</v>
      </c>
      <c r="F54" s="16" t="s">
        <v>17</v>
      </c>
      <c r="G54" s="16" t="s">
        <v>17</v>
      </c>
      <c r="H54" s="16" t="s">
        <v>17</v>
      </c>
      <c r="I54" s="16" t="s">
        <v>17</v>
      </c>
      <c r="J54" s="16" t="s">
        <v>17</v>
      </c>
      <c r="K54" s="16" t="s">
        <v>1082</v>
      </c>
      <c r="L54" s="16" t="s">
        <v>1081</v>
      </c>
      <c r="M54" s="16" t="s">
        <v>8020</v>
      </c>
      <c r="N54" s="16" t="s">
        <v>17</v>
      </c>
      <c r="O54" s="16" t="s">
        <v>6921</v>
      </c>
      <c r="P54" s="16" t="s">
        <v>17</v>
      </c>
      <c r="Q54" s="16" t="s">
        <v>6922</v>
      </c>
      <c r="R54" s="16" t="s">
        <v>6923</v>
      </c>
      <c r="S54" s="16" t="s">
        <v>17</v>
      </c>
      <c r="T54" s="16" t="s">
        <v>8021</v>
      </c>
      <c r="U54" s="16" t="s">
        <v>17</v>
      </c>
      <c r="V54" s="16" t="s">
        <v>6929</v>
      </c>
      <c r="W54" s="16" t="s">
        <v>17</v>
      </c>
      <c r="X54" s="16" t="s">
        <v>8020</v>
      </c>
      <c r="Y54" s="16" t="s">
        <v>17</v>
      </c>
      <c r="Z54" s="16" t="s">
        <v>6926</v>
      </c>
    </row>
    <row r="55" spans="1:26" x14ac:dyDescent="0.3">
      <c r="A55" s="16">
        <v>54</v>
      </c>
      <c r="B55" s="16" t="s">
        <v>7277</v>
      </c>
      <c r="C55" s="17">
        <v>9781264278824</v>
      </c>
      <c r="D55" s="17">
        <v>9781264278824</v>
      </c>
      <c r="E55" s="16" t="s">
        <v>7278</v>
      </c>
      <c r="F55" s="16" t="s">
        <v>17</v>
      </c>
      <c r="G55" s="16" t="s">
        <v>17</v>
      </c>
      <c r="H55" s="16" t="s">
        <v>17</v>
      </c>
      <c r="I55" s="16" t="s">
        <v>17</v>
      </c>
      <c r="J55" s="16" t="s">
        <v>17</v>
      </c>
      <c r="K55" s="16" t="s">
        <v>306</v>
      </c>
      <c r="L55" s="16" t="s">
        <v>7279</v>
      </c>
      <c r="M55" s="16" t="s">
        <v>7277</v>
      </c>
      <c r="N55" s="16" t="s">
        <v>17</v>
      </c>
      <c r="O55" s="16" t="s">
        <v>6921</v>
      </c>
      <c r="P55" s="16" t="s">
        <v>17</v>
      </c>
      <c r="Q55" s="16" t="s">
        <v>6922</v>
      </c>
      <c r="R55" s="16" t="s">
        <v>6923</v>
      </c>
      <c r="S55" s="16" t="s">
        <v>17</v>
      </c>
      <c r="T55" s="16" t="s">
        <v>7278</v>
      </c>
      <c r="U55" s="16" t="s">
        <v>17</v>
      </c>
      <c r="V55" s="16" t="s">
        <v>6924</v>
      </c>
      <c r="W55" s="16" t="s">
        <v>17</v>
      </c>
      <c r="X55" s="16" t="s">
        <v>7277</v>
      </c>
      <c r="Y55" s="16" t="s">
        <v>17</v>
      </c>
      <c r="Z55" s="16" t="s">
        <v>6926</v>
      </c>
    </row>
    <row r="56" spans="1:26" x14ac:dyDescent="0.3">
      <c r="A56" s="16">
        <v>55</v>
      </c>
      <c r="B56" s="16" t="s">
        <v>8190</v>
      </c>
      <c r="C56" s="17">
        <v>9781259644696</v>
      </c>
      <c r="D56" s="17">
        <v>9781259644696</v>
      </c>
      <c r="E56" s="16" t="s">
        <v>7340</v>
      </c>
      <c r="F56" s="16" t="s">
        <v>17</v>
      </c>
      <c r="G56" s="16" t="s">
        <v>17</v>
      </c>
      <c r="H56" s="16" t="s">
        <v>17</v>
      </c>
      <c r="I56" s="16" t="s">
        <v>17</v>
      </c>
      <c r="J56" s="16" t="s">
        <v>17</v>
      </c>
      <c r="K56" s="16" t="s">
        <v>1271</v>
      </c>
      <c r="L56" s="16" t="s">
        <v>17</v>
      </c>
      <c r="M56" s="16" t="s">
        <v>8190</v>
      </c>
      <c r="N56" s="16" t="s">
        <v>17</v>
      </c>
      <c r="O56" s="16" t="s">
        <v>6921</v>
      </c>
      <c r="P56" s="16" t="s">
        <v>17</v>
      </c>
      <c r="Q56" s="16" t="s">
        <v>6922</v>
      </c>
      <c r="R56" s="16" t="s">
        <v>6923</v>
      </c>
      <c r="S56" s="16" t="s">
        <v>17</v>
      </c>
      <c r="T56" s="16" t="s">
        <v>7340</v>
      </c>
      <c r="U56" s="16" t="s">
        <v>17</v>
      </c>
      <c r="V56" s="16" t="s">
        <v>6944</v>
      </c>
      <c r="W56" s="16" t="s">
        <v>8191</v>
      </c>
      <c r="X56" s="16" t="s">
        <v>8190</v>
      </c>
      <c r="Y56" s="16" t="s">
        <v>17</v>
      </c>
      <c r="Z56" s="16" t="s">
        <v>6926</v>
      </c>
    </row>
    <row r="57" spans="1:26" x14ac:dyDescent="0.3">
      <c r="A57" s="16">
        <v>56</v>
      </c>
      <c r="B57" s="16" t="s">
        <v>8330</v>
      </c>
      <c r="C57" s="17">
        <v>9780071475747</v>
      </c>
      <c r="D57" s="17">
        <v>9780071475747</v>
      </c>
      <c r="E57" s="16" t="s">
        <v>6920</v>
      </c>
      <c r="F57" s="16" t="s">
        <v>17</v>
      </c>
      <c r="G57" s="16" t="s">
        <v>17</v>
      </c>
      <c r="H57" s="16" t="s">
        <v>17</v>
      </c>
      <c r="I57" s="16" t="s">
        <v>17</v>
      </c>
      <c r="J57" s="16" t="s">
        <v>17</v>
      </c>
      <c r="K57" s="16" t="s">
        <v>1408</v>
      </c>
      <c r="L57" s="16" t="s">
        <v>1270</v>
      </c>
      <c r="M57" s="16" t="s">
        <v>8330</v>
      </c>
      <c r="N57" s="16" t="s">
        <v>17</v>
      </c>
      <c r="O57" s="16" t="s">
        <v>6921</v>
      </c>
      <c r="P57" s="16" t="s">
        <v>17</v>
      </c>
      <c r="Q57" s="16" t="s">
        <v>6922</v>
      </c>
      <c r="R57" s="16" t="s">
        <v>6923</v>
      </c>
      <c r="S57" s="16" t="s">
        <v>17</v>
      </c>
      <c r="T57" s="16" t="s">
        <v>6920</v>
      </c>
      <c r="U57" s="16" t="s">
        <v>17</v>
      </c>
      <c r="V57" s="16" t="s">
        <v>7431</v>
      </c>
      <c r="W57" s="16" t="s">
        <v>17</v>
      </c>
      <c r="X57" s="16" t="s">
        <v>8330</v>
      </c>
      <c r="Y57" s="16" t="s">
        <v>17</v>
      </c>
      <c r="Z57" s="16" t="s">
        <v>6926</v>
      </c>
    </row>
    <row r="58" spans="1:26" x14ac:dyDescent="0.3">
      <c r="A58" s="16">
        <v>57</v>
      </c>
      <c r="B58" s="16" t="s">
        <v>8064</v>
      </c>
      <c r="C58" s="17">
        <v>9780071612883</v>
      </c>
      <c r="D58" s="17">
        <v>9780071612883</v>
      </c>
      <c r="E58" s="16" t="s">
        <v>6920</v>
      </c>
      <c r="F58" s="16" t="s">
        <v>17</v>
      </c>
      <c r="G58" s="16" t="s">
        <v>17</v>
      </c>
      <c r="H58" s="16" t="s">
        <v>17</v>
      </c>
      <c r="I58" s="16" t="s">
        <v>17</v>
      </c>
      <c r="J58" s="16" t="s">
        <v>17</v>
      </c>
      <c r="K58" s="16" t="s">
        <v>1142</v>
      </c>
      <c r="L58" s="16" t="s">
        <v>17</v>
      </c>
      <c r="M58" s="16" t="s">
        <v>8064</v>
      </c>
      <c r="N58" s="16" t="s">
        <v>17</v>
      </c>
      <c r="O58" s="16" t="s">
        <v>6921</v>
      </c>
      <c r="P58" s="16" t="s">
        <v>17</v>
      </c>
      <c r="Q58" s="16" t="s">
        <v>6922</v>
      </c>
      <c r="R58" s="16" t="s">
        <v>6923</v>
      </c>
      <c r="S58" s="16" t="s">
        <v>17</v>
      </c>
      <c r="T58" s="16" t="s">
        <v>6920</v>
      </c>
      <c r="U58" s="16" t="s">
        <v>17</v>
      </c>
      <c r="V58" s="16" t="s">
        <v>6929</v>
      </c>
      <c r="W58" s="16" t="s">
        <v>8065</v>
      </c>
      <c r="X58" s="16" t="s">
        <v>8064</v>
      </c>
      <c r="Y58" s="16" t="s">
        <v>17</v>
      </c>
      <c r="Z58" s="16" t="s">
        <v>6926</v>
      </c>
    </row>
    <row r="59" spans="1:26" x14ac:dyDescent="0.3">
      <c r="A59" s="16">
        <v>58</v>
      </c>
      <c r="B59" s="16" t="s">
        <v>1541</v>
      </c>
      <c r="C59" s="17">
        <v>9781259644153</v>
      </c>
      <c r="D59" s="17">
        <v>9781259644153</v>
      </c>
      <c r="E59" s="16" t="s">
        <v>7988</v>
      </c>
      <c r="F59" s="16" t="s">
        <v>17</v>
      </c>
      <c r="G59" s="16" t="s">
        <v>17</v>
      </c>
      <c r="H59" s="16" t="s">
        <v>17</v>
      </c>
      <c r="I59" s="16" t="s">
        <v>17</v>
      </c>
      <c r="J59" s="16" t="s">
        <v>17</v>
      </c>
      <c r="K59" s="16" t="s">
        <v>1369</v>
      </c>
      <c r="L59" s="16" t="s">
        <v>1368</v>
      </c>
      <c r="M59" s="16" t="s">
        <v>1541</v>
      </c>
      <c r="N59" s="16" t="s">
        <v>17</v>
      </c>
      <c r="O59" s="16" t="s">
        <v>6921</v>
      </c>
      <c r="P59" s="16" t="s">
        <v>17</v>
      </c>
      <c r="Q59" s="16" t="s">
        <v>6922</v>
      </c>
      <c r="R59" s="16" t="s">
        <v>6923</v>
      </c>
      <c r="S59" s="16" t="s">
        <v>17</v>
      </c>
      <c r="T59" s="16" t="s">
        <v>7988</v>
      </c>
      <c r="U59" s="16" t="s">
        <v>17</v>
      </c>
      <c r="V59" s="16" t="s">
        <v>6924</v>
      </c>
      <c r="W59" s="16" t="s">
        <v>17</v>
      </c>
      <c r="X59" s="16" t="s">
        <v>1541</v>
      </c>
      <c r="Y59" s="16" t="s">
        <v>17</v>
      </c>
      <c r="Z59" s="16" t="s">
        <v>6926</v>
      </c>
    </row>
    <row r="60" spans="1:26" x14ac:dyDescent="0.3">
      <c r="A60" s="16">
        <v>59</v>
      </c>
      <c r="B60" s="16" t="s">
        <v>1541</v>
      </c>
      <c r="C60" s="17">
        <v>9780071472173</v>
      </c>
      <c r="D60" s="17">
        <v>9780071472173</v>
      </c>
      <c r="E60" s="16" t="s">
        <v>6920</v>
      </c>
      <c r="F60" s="16" t="s">
        <v>17</v>
      </c>
      <c r="G60" s="16" t="s">
        <v>17</v>
      </c>
      <c r="H60" s="16" t="s">
        <v>17</v>
      </c>
      <c r="I60" s="16" t="s">
        <v>17</v>
      </c>
      <c r="J60" s="16" t="s">
        <v>17</v>
      </c>
      <c r="K60" s="16" t="s">
        <v>1543</v>
      </c>
      <c r="L60" s="16" t="s">
        <v>1542</v>
      </c>
      <c r="M60" s="16" t="s">
        <v>1541</v>
      </c>
      <c r="N60" s="16" t="s">
        <v>17</v>
      </c>
      <c r="O60" s="16" t="s">
        <v>6921</v>
      </c>
      <c r="P60" s="16" t="s">
        <v>17</v>
      </c>
      <c r="Q60" s="16" t="s">
        <v>6922</v>
      </c>
      <c r="R60" s="16" t="s">
        <v>6923</v>
      </c>
      <c r="S60" s="16" t="s">
        <v>17</v>
      </c>
      <c r="T60" s="16" t="s">
        <v>6920</v>
      </c>
      <c r="U60" s="16" t="s">
        <v>17</v>
      </c>
      <c r="V60" s="16" t="s">
        <v>7049</v>
      </c>
      <c r="W60" s="16" t="s">
        <v>17</v>
      </c>
      <c r="X60" s="16" t="s">
        <v>1541</v>
      </c>
      <c r="Y60" s="16" t="s">
        <v>17</v>
      </c>
      <c r="Z60" s="16" t="s">
        <v>6926</v>
      </c>
    </row>
    <row r="61" spans="1:26" x14ac:dyDescent="0.3">
      <c r="A61" s="16">
        <v>60</v>
      </c>
      <c r="B61" s="16" t="s">
        <v>8088</v>
      </c>
      <c r="C61" s="17">
        <v>9780071472425</v>
      </c>
      <c r="D61" s="17">
        <v>9780071472425</v>
      </c>
      <c r="E61" s="16" t="s">
        <v>6920</v>
      </c>
      <c r="F61" s="16" t="s">
        <v>17</v>
      </c>
      <c r="G61" s="16" t="s">
        <v>17</v>
      </c>
      <c r="H61" s="16" t="s">
        <v>17</v>
      </c>
      <c r="I61" s="16" t="s">
        <v>17</v>
      </c>
      <c r="J61" s="16" t="s">
        <v>17</v>
      </c>
      <c r="K61" s="16" t="s">
        <v>1176</v>
      </c>
      <c r="L61" s="16" t="s">
        <v>17</v>
      </c>
      <c r="M61" s="16" t="s">
        <v>8088</v>
      </c>
      <c r="N61" s="16" t="s">
        <v>17</v>
      </c>
      <c r="O61" s="16" t="s">
        <v>6921</v>
      </c>
      <c r="P61" s="16" t="s">
        <v>17</v>
      </c>
      <c r="Q61" s="16" t="s">
        <v>6922</v>
      </c>
      <c r="R61" s="16" t="s">
        <v>6923</v>
      </c>
      <c r="S61" s="16" t="s">
        <v>17</v>
      </c>
      <c r="T61" s="16" t="s">
        <v>6920</v>
      </c>
      <c r="U61" s="16" t="s">
        <v>17</v>
      </c>
      <c r="V61" s="16" t="s">
        <v>6929</v>
      </c>
      <c r="W61" s="16" t="s">
        <v>8089</v>
      </c>
      <c r="X61" s="16" t="s">
        <v>8088</v>
      </c>
      <c r="Y61" s="16" t="s">
        <v>17</v>
      </c>
      <c r="Z61" s="16" t="s">
        <v>6926</v>
      </c>
    </row>
    <row r="62" spans="1:26" x14ac:dyDescent="0.3">
      <c r="A62" s="16">
        <v>61</v>
      </c>
      <c r="B62" s="16" t="s">
        <v>1385</v>
      </c>
      <c r="C62" s="17">
        <v>9780071800044</v>
      </c>
      <c r="D62" s="17">
        <v>9780071800044</v>
      </c>
      <c r="E62" s="16" t="s">
        <v>8326</v>
      </c>
      <c r="F62" s="16" t="s">
        <v>17</v>
      </c>
      <c r="G62" s="16" t="s">
        <v>17</v>
      </c>
      <c r="H62" s="16" t="s">
        <v>17</v>
      </c>
      <c r="I62" s="16" t="s">
        <v>17</v>
      </c>
      <c r="J62" s="16" t="s">
        <v>17</v>
      </c>
      <c r="K62" s="16" t="s">
        <v>1387</v>
      </c>
      <c r="L62" s="16" t="s">
        <v>1386</v>
      </c>
      <c r="M62" s="16" t="s">
        <v>1385</v>
      </c>
      <c r="N62" s="16" t="s">
        <v>17</v>
      </c>
      <c r="O62" s="16" t="s">
        <v>6921</v>
      </c>
      <c r="P62" s="16" t="s">
        <v>17</v>
      </c>
      <c r="Q62" s="16" t="s">
        <v>6922</v>
      </c>
      <c r="R62" s="16" t="s">
        <v>6923</v>
      </c>
      <c r="S62" s="16" t="s">
        <v>17</v>
      </c>
      <c r="T62" s="16" t="s">
        <v>8326</v>
      </c>
      <c r="U62" s="16" t="s">
        <v>17</v>
      </c>
      <c r="V62" s="16" t="s">
        <v>7049</v>
      </c>
      <c r="W62" s="16" t="s">
        <v>17</v>
      </c>
      <c r="X62" s="16" t="s">
        <v>1385</v>
      </c>
      <c r="Y62" s="16" t="s">
        <v>17</v>
      </c>
      <c r="Z62" s="16" t="s">
        <v>6926</v>
      </c>
    </row>
    <row r="63" spans="1:26" x14ac:dyDescent="0.3">
      <c r="A63" s="16">
        <v>62</v>
      </c>
      <c r="B63" s="16" t="s">
        <v>8218</v>
      </c>
      <c r="C63" s="17">
        <v>9781260456844</v>
      </c>
      <c r="D63" s="17">
        <v>9781260456844</v>
      </c>
      <c r="E63" s="16" t="s">
        <v>8219</v>
      </c>
      <c r="F63" s="16" t="s">
        <v>17</v>
      </c>
      <c r="G63" s="16" t="s">
        <v>17</v>
      </c>
      <c r="H63" s="16" t="s">
        <v>17</v>
      </c>
      <c r="I63" s="16" t="s">
        <v>17</v>
      </c>
      <c r="J63" s="16" t="s">
        <v>17</v>
      </c>
      <c r="K63" s="16" t="s">
        <v>1297</v>
      </c>
      <c r="L63" s="16" t="s">
        <v>1296</v>
      </c>
      <c r="M63" s="16" t="s">
        <v>8218</v>
      </c>
      <c r="N63" s="16" t="s">
        <v>17</v>
      </c>
      <c r="O63" s="16" t="s">
        <v>6921</v>
      </c>
      <c r="P63" s="16" t="s">
        <v>17</v>
      </c>
      <c r="Q63" s="16" t="s">
        <v>6922</v>
      </c>
      <c r="R63" s="16" t="s">
        <v>6923</v>
      </c>
      <c r="S63" s="16" t="s">
        <v>17</v>
      </c>
      <c r="T63" s="16" t="s">
        <v>8219</v>
      </c>
      <c r="U63" s="16" t="s">
        <v>17</v>
      </c>
      <c r="V63" s="16" t="s">
        <v>6929</v>
      </c>
      <c r="W63" s="16" t="s">
        <v>17</v>
      </c>
      <c r="X63" s="16" t="s">
        <v>8218</v>
      </c>
      <c r="Y63" s="16" t="s">
        <v>17</v>
      </c>
      <c r="Z63" s="16" t="s">
        <v>6926</v>
      </c>
    </row>
    <row r="64" spans="1:26" x14ac:dyDescent="0.3">
      <c r="A64" s="16">
        <v>63</v>
      </c>
      <c r="B64" s="16" t="s">
        <v>8388</v>
      </c>
      <c r="C64" s="17">
        <v>9780071502443</v>
      </c>
      <c r="D64" s="17">
        <v>9780071502443</v>
      </c>
      <c r="E64" s="16" t="s">
        <v>6920</v>
      </c>
      <c r="F64" s="16" t="s">
        <v>17</v>
      </c>
      <c r="G64" s="16" t="s">
        <v>17</v>
      </c>
      <c r="H64" s="16" t="s">
        <v>17</v>
      </c>
      <c r="I64" s="16" t="s">
        <v>17</v>
      </c>
      <c r="J64" s="16" t="s">
        <v>17</v>
      </c>
      <c r="K64" s="16" t="s">
        <v>1566</v>
      </c>
      <c r="L64" s="16" t="s">
        <v>987</v>
      </c>
      <c r="M64" s="16" t="s">
        <v>8388</v>
      </c>
      <c r="N64" s="16" t="s">
        <v>17</v>
      </c>
      <c r="O64" s="16" t="s">
        <v>6921</v>
      </c>
      <c r="P64" s="16" t="s">
        <v>17</v>
      </c>
      <c r="Q64" s="16" t="s">
        <v>6922</v>
      </c>
      <c r="R64" s="16" t="s">
        <v>6923</v>
      </c>
      <c r="S64" s="16" t="s">
        <v>17</v>
      </c>
      <c r="T64" s="16" t="s">
        <v>6920</v>
      </c>
      <c r="U64" s="16" t="s">
        <v>17</v>
      </c>
      <c r="V64" s="16" t="s">
        <v>7363</v>
      </c>
      <c r="W64" s="16" t="s">
        <v>17</v>
      </c>
      <c r="X64" s="16" t="s">
        <v>8388</v>
      </c>
      <c r="Y64" s="16" t="s">
        <v>17</v>
      </c>
      <c r="Z64" s="16" t="s">
        <v>6926</v>
      </c>
    </row>
    <row r="65" spans="1:26" x14ac:dyDescent="0.3">
      <c r="A65" s="16">
        <v>64</v>
      </c>
      <c r="B65" s="16" t="s">
        <v>7206</v>
      </c>
      <c r="C65" s="17">
        <v>9780071385466</v>
      </c>
      <c r="D65" s="17">
        <v>9780071385466</v>
      </c>
      <c r="E65" s="16" t="s">
        <v>6920</v>
      </c>
      <c r="F65" s="16" t="s">
        <v>17</v>
      </c>
      <c r="G65" s="16" t="s">
        <v>17</v>
      </c>
      <c r="H65" s="16" t="s">
        <v>17</v>
      </c>
      <c r="I65" s="16" t="s">
        <v>17</v>
      </c>
      <c r="J65" s="16" t="s">
        <v>17</v>
      </c>
      <c r="K65" s="16" t="s">
        <v>247</v>
      </c>
      <c r="L65" s="16" t="s">
        <v>7207</v>
      </c>
      <c r="M65" s="16" t="s">
        <v>7206</v>
      </c>
      <c r="N65" s="16" t="s">
        <v>17</v>
      </c>
      <c r="O65" s="16" t="s">
        <v>6921</v>
      </c>
      <c r="P65" s="16" t="s">
        <v>17</v>
      </c>
      <c r="Q65" s="16" t="s">
        <v>6922</v>
      </c>
      <c r="R65" s="16" t="s">
        <v>6923</v>
      </c>
      <c r="S65" s="16" t="s">
        <v>17</v>
      </c>
      <c r="T65" s="16" t="s">
        <v>6920</v>
      </c>
      <c r="U65" s="16" t="s">
        <v>17</v>
      </c>
      <c r="V65" s="16" t="s">
        <v>6929</v>
      </c>
      <c r="W65" s="16" t="s">
        <v>17</v>
      </c>
      <c r="X65" s="16" t="s">
        <v>7206</v>
      </c>
      <c r="Y65" s="16" t="s">
        <v>17</v>
      </c>
      <c r="Z65" s="16" t="s">
        <v>6926</v>
      </c>
    </row>
    <row r="66" spans="1:26" x14ac:dyDescent="0.3">
      <c r="A66" s="16">
        <v>65</v>
      </c>
      <c r="B66" s="16" t="s">
        <v>8103</v>
      </c>
      <c r="C66" s="17">
        <v>9780071775960</v>
      </c>
      <c r="D66" s="17">
        <v>9780071775960</v>
      </c>
      <c r="E66" s="16" t="s">
        <v>7302</v>
      </c>
      <c r="F66" s="16" t="s">
        <v>17</v>
      </c>
      <c r="G66" s="16" t="s">
        <v>17</v>
      </c>
      <c r="H66" s="16" t="s">
        <v>17</v>
      </c>
      <c r="I66" s="16" t="s">
        <v>17</v>
      </c>
      <c r="J66" s="16" t="s">
        <v>17</v>
      </c>
      <c r="K66" s="16" t="s">
        <v>1189</v>
      </c>
      <c r="L66" s="16" t="s">
        <v>6937</v>
      </c>
      <c r="M66" s="16" t="s">
        <v>8103</v>
      </c>
      <c r="N66" s="16" t="s">
        <v>17</v>
      </c>
      <c r="O66" s="16" t="s">
        <v>6921</v>
      </c>
      <c r="P66" s="16" t="s">
        <v>17</v>
      </c>
      <c r="Q66" s="16" t="s">
        <v>6922</v>
      </c>
      <c r="R66" s="16" t="s">
        <v>6923</v>
      </c>
      <c r="S66" s="16" t="s">
        <v>17</v>
      </c>
      <c r="T66" s="16" t="s">
        <v>7302</v>
      </c>
      <c r="U66" s="16" t="s">
        <v>17</v>
      </c>
      <c r="V66" s="16" t="s">
        <v>6929</v>
      </c>
      <c r="W66" s="16" t="s">
        <v>17</v>
      </c>
      <c r="X66" s="16" t="s">
        <v>8103</v>
      </c>
      <c r="Y66" s="16" t="s">
        <v>17</v>
      </c>
      <c r="Z66" s="16" t="s">
        <v>6926</v>
      </c>
    </row>
    <row r="67" spans="1:26" x14ac:dyDescent="0.3">
      <c r="A67" s="16">
        <v>66</v>
      </c>
      <c r="B67" s="16" t="s">
        <v>7396</v>
      </c>
      <c r="C67" s="17">
        <v>9781260010893</v>
      </c>
      <c r="D67" s="17">
        <v>9781260010893</v>
      </c>
      <c r="E67" s="16" t="s">
        <v>7397</v>
      </c>
      <c r="F67" s="16" t="s">
        <v>17</v>
      </c>
      <c r="G67" s="16" t="s">
        <v>17</v>
      </c>
      <c r="H67" s="16" t="s">
        <v>17</v>
      </c>
      <c r="I67" s="16" t="s">
        <v>17</v>
      </c>
      <c r="J67" s="16" t="s">
        <v>17</v>
      </c>
      <c r="K67" s="16" t="s">
        <v>412</v>
      </c>
      <c r="L67" s="16" t="s">
        <v>411</v>
      </c>
      <c r="M67" s="16" t="s">
        <v>7396</v>
      </c>
      <c r="N67" s="16" t="s">
        <v>17</v>
      </c>
      <c r="O67" s="16" t="s">
        <v>6921</v>
      </c>
      <c r="P67" s="16" t="s">
        <v>17</v>
      </c>
      <c r="Q67" s="16" t="s">
        <v>6922</v>
      </c>
      <c r="R67" s="16" t="s">
        <v>6923</v>
      </c>
      <c r="S67" s="16" t="s">
        <v>17</v>
      </c>
      <c r="T67" s="16" t="s">
        <v>7397</v>
      </c>
      <c r="U67" s="16" t="s">
        <v>17</v>
      </c>
      <c r="V67" s="16" t="s">
        <v>6929</v>
      </c>
      <c r="W67" s="16" t="s">
        <v>17</v>
      </c>
      <c r="X67" s="16" t="s">
        <v>7396</v>
      </c>
      <c r="Y67" s="16" t="s">
        <v>17</v>
      </c>
      <c r="Z67" s="16" t="s">
        <v>6926</v>
      </c>
    </row>
    <row r="68" spans="1:26" x14ac:dyDescent="0.3">
      <c r="A68" s="16">
        <v>67</v>
      </c>
      <c r="B68" s="16" t="s">
        <v>8131</v>
      </c>
      <c r="C68" s="17">
        <v>9780071834056</v>
      </c>
      <c r="D68" s="17">
        <v>9780071834056</v>
      </c>
      <c r="E68" s="16" t="s">
        <v>7302</v>
      </c>
      <c r="F68" s="16" t="s">
        <v>17</v>
      </c>
      <c r="G68" s="16" t="s">
        <v>17</v>
      </c>
      <c r="H68" s="16" t="s">
        <v>17</v>
      </c>
      <c r="I68" s="16" t="s">
        <v>17</v>
      </c>
      <c r="J68" s="16" t="s">
        <v>17</v>
      </c>
      <c r="K68" s="16" t="s">
        <v>1222</v>
      </c>
      <c r="L68" s="16" t="s">
        <v>8132</v>
      </c>
      <c r="M68" s="16" t="s">
        <v>8131</v>
      </c>
      <c r="N68" s="16" t="s">
        <v>17</v>
      </c>
      <c r="O68" s="16" t="s">
        <v>6921</v>
      </c>
      <c r="P68" s="16" t="s">
        <v>17</v>
      </c>
      <c r="Q68" s="16" t="s">
        <v>6922</v>
      </c>
      <c r="R68" s="16" t="s">
        <v>6923</v>
      </c>
      <c r="S68" s="16" t="s">
        <v>17</v>
      </c>
      <c r="T68" s="16" t="s">
        <v>7302</v>
      </c>
      <c r="U68" s="16" t="s">
        <v>17</v>
      </c>
      <c r="V68" s="16" t="s">
        <v>6929</v>
      </c>
      <c r="W68" s="16" t="s">
        <v>17</v>
      </c>
      <c r="X68" s="16" t="s">
        <v>8131</v>
      </c>
      <c r="Y68" s="16" t="s">
        <v>17</v>
      </c>
      <c r="Z68" s="16" t="s">
        <v>6926</v>
      </c>
    </row>
    <row r="69" spans="1:26" x14ac:dyDescent="0.3">
      <c r="A69" s="16">
        <v>68</v>
      </c>
      <c r="B69" s="16" t="s">
        <v>8215</v>
      </c>
      <c r="C69" s="17">
        <v>9780071782777</v>
      </c>
      <c r="D69" s="17">
        <v>9780071782777</v>
      </c>
      <c r="E69" s="16" t="s">
        <v>7302</v>
      </c>
      <c r="F69" s="16" t="s">
        <v>17</v>
      </c>
      <c r="G69" s="16" t="s">
        <v>17</v>
      </c>
      <c r="H69" s="16" t="s">
        <v>17</v>
      </c>
      <c r="I69" s="16" t="s">
        <v>17</v>
      </c>
      <c r="J69" s="16" t="s">
        <v>17</v>
      </c>
      <c r="K69" s="16" t="s">
        <v>1294</v>
      </c>
      <c r="L69" s="16" t="s">
        <v>419</v>
      </c>
      <c r="M69" s="16" t="s">
        <v>8215</v>
      </c>
      <c r="N69" s="16" t="s">
        <v>17</v>
      </c>
      <c r="O69" s="16" t="s">
        <v>6921</v>
      </c>
      <c r="P69" s="16" t="s">
        <v>17</v>
      </c>
      <c r="Q69" s="16" t="s">
        <v>6922</v>
      </c>
      <c r="R69" s="16" t="s">
        <v>6923</v>
      </c>
      <c r="S69" s="16" t="s">
        <v>17</v>
      </c>
      <c r="T69" s="16" t="s">
        <v>7302</v>
      </c>
      <c r="U69" s="16" t="s">
        <v>17</v>
      </c>
      <c r="V69" s="16" t="s">
        <v>6929</v>
      </c>
      <c r="W69" s="16" t="s">
        <v>17</v>
      </c>
      <c r="X69" s="16" t="s">
        <v>8215</v>
      </c>
      <c r="Y69" s="16" t="s">
        <v>17</v>
      </c>
      <c r="Z69" s="16" t="s">
        <v>6926</v>
      </c>
    </row>
    <row r="70" spans="1:26" x14ac:dyDescent="0.3">
      <c r="A70" s="16">
        <v>69</v>
      </c>
      <c r="B70" s="16" t="s">
        <v>7717</v>
      </c>
      <c r="C70" s="17">
        <v>9780071374934</v>
      </c>
      <c r="D70" s="17">
        <v>9780071374934</v>
      </c>
      <c r="E70" s="16" t="s">
        <v>6920</v>
      </c>
      <c r="F70" s="16" t="s">
        <v>17</v>
      </c>
      <c r="G70" s="16" t="s">
        <v>17</v>
      </c>
      <c r="H70" s="16" t="s">
        <v>17</v>
      </c>
      <c r="I70" s="16" t="s">
        <v>17</v>
      </c>
      <c r="J70" s="16" t="s">
        <v>17</v>
      </c>
      <c r="K70" s="16" t="s">
        <v>704</v>
      </c>
      <c r="L70" s="16" t="s">
        <v>17</v>
      </c>
      <c r="M70" s="16" t="s">
        <v>7717</v>
      </c>
      <c r="N70" s="16" t="s">
        <v>17</v>
      </c>
      <c r="O70" s="16" t="s">
        <v>6921</v>
      </c>
      <c r="P70" s="16" t="s">
        <v>17</v>
      </c>
      <c r="Q70" s="16" t="s">
        <v>6922</v>
      </c>
      <c r="R70" s="16" t="s">
        <v>6923</v>
      </c>
      <c r="S70" s="16" t="s">
        <v>17</v>
      </c>
      <c r="T70" s="16" t="s">
        <v>6920</v>
      </c>
      <c r="U70" s="16" t="s">
        <v>17</v>
      </c>
      <c r="V70" s="16" t="s">
        <v>6929</v>
      </c>
      <c r="W70" s="16" t="s">
        <v>7718</v>
      </c>
      <c r="X70" s="16" t="s">
        <v>7717</v>
      </c>
      <c r="Y70" s="16" t="s">
        <v>17</v>
      </c>
      <c r="Z70" s="16" t="s">
        <v>6926</v>
      </c>
    </row>
    <row r="71" spans="1:26" x14ac:dyDescent="0.3">
      <c r="A71" s="16">
        <v>70</v>
      </c>
      <c r="B71" s="16" t="s">
        <v>1426</v>
      </c>
      <c r="C71" s="17">
        <v>9780071601511</v>
      </c>
      <c r="D71" s="17">
        <v>9780071601511</v>
      </c>
      <c r="E71" s="16" t="s">
        <v>6920</v>
      </c>
      <c r="F71" s="16" t="s">
        <v>17</v>
      </c>
      <c r="G71" s="16" t="s">
        <v>17</v>
      </c>
      <c r="H71" s="16" t="s">
        <v>17</v>
      </c>
      <c r="I71" s="16" t="s">
        <v>17</v>
      </c>
      <c r="J71" s="16" t="s">
        <v>17</v>
      </c>
      <c r="K71" s="16" t="s">
        <v>1427</v>
      </c>
      <c r="L71" s="16" t="s">
        <v>802</v>
      </c>
      <c r="M71" s="16" t="s">
        <v>1426</v>
      </c>
      <c r="N71" s="16" t="s">
        <v>17</v>
      </c>
      <c r="O71" s="16" t="s">
        <v>6921</v>
      </c>
      <c r="P71" s="16" t="s">
        <v>17</v>
      </c>
      <c r="Q71" s="16" t="s">
        <v>6922</v>
      </c>
      <c r="R71" s="16" t="s">
        <v>6923</v>
      </c>
      <c r="S71" s="16" t="s">
        <v>17</v>
      </c>
      <c r="T71" s="16" t="s">
        <v>6920</v>
      </c>
      <c r="U71" s="16" t="s">
        <v>17</v>
      </c>
      <c r="V71" s="16" t="s">
        <v>7049</v>
      </c>
      <c r="W71" s="16" t="s">
        <v>17</v>
      </c>
      <c r="X71" s="16" t="s">
        <v>1426</v>
      </c>
      <c r="Y71" s="16" t="s">
        <v>17</v>
      </c>
      <c r="Z71" s="16" t="s">
        <v>6926</v>
      </c>
    </row>
    <row r="72" spans="1:26" x14ac:dyDescent="0.3">
      <c r="A72" s="16">
        <v>71</v>
      </c>
      <c r="B72" s="16" t="s">
        <v>1394</v>
      </c>
      <c r="C72" s="17">
        <v>9780071481618</v>
      </c>
      <c r="D72" s="17">
        <v>9780071481618</v>
      </c>
      <c r="E72" s="16" t="s">
        <v>6920</v>
      </c>
      <c r="F72" s="16" t="s">
        <v>17</v>
      </c>
      <c r="G72" s="16" t="s">
        <v>17</v>
      </c>
      <c r="H72" s="16" t="s">
        <v>17</v>
      </c>
      <c r="I72" s="16" t="s">
        <v>17</v>
      </c>
      <c r="J72" s="16" t="s">
        <v>17</v>
      </c>
      <c r="K72" s="16" t="s">
        <v>1396</v>
      </c>
      <c r="L72" s="16" t="s">
        <v>1395</v>
      </c>
      <c r="M72" s="16" t="s">
        <v>1394</v>
      </c>
      <c r="N72" s="16" t="s">
        <v>17</v>
      </c>
      <c r="O72" s="16" t="s">
        <v>6921</v>
      </c>
      <c r="P72" s="16" t="s">
        <v>17</v>
      </c>
      <c r="Q72" s="16" t="s">
        <v>6922</v>
      </c>
      <c r="R72" s="16" t="s">
        <v>6923</v>
      </c>
      <c r="S72" s="16" t="s">
        <v>17</v>
      </c>
      <c r="T72" s="16" t="s">
        <v>6920</v>
      </c>
      <c r="U72" s="16" t="s">
        <v>17</v>
      </c>
      <c r="V72" s="16" t="s">
        <v>7049</v>
      </c>
      <c r="W72" s="16" t="s">
        <v>17</v>
      </c>
      <c r="X72" s="16" t="s">
        <v>1394</v>
      </c>
      <c r="Y72" s="16" t="s">
        <v>17</v>
      </c>
      <c r="Z72" s="16" t="s">
        <v>6926</v>
      </c>
    </row>
    <row r="73" spans="1:26" x14ac:dyDescent="0.3">
      <c r="A73" s="16">
        <v>72</v>
      </c>
      <c r="B73" s="16" t="s">
        <v>821</v>
      </c>
      <c r="C73" s="17">
        <v>9780070583535</v>
      </c>
      <c r="D73" s="17">
        <v>9780070583535</v>
      </c>
      <c r="E73" s="16" t="s">
        <v>7550</v>
      </c>
      <c r="F73" s="16" t="s">
        <v>17</v>
      </c>
      <c r="G73" s="16" t="s">
        <v>17</v>
      </c>
      <c r="H73" s="16" t="s">
        <v>17</v>
      </c>
      <c r="I73" s="16" t="s">
        <v>17</v>
      </c>
      <c r="J73" s="16" t="s">
        <v>17</v>
      </c>
      <c r="K73" s="16" t="s">
        <v>822</v>
      </c>
      <c r="L73" s="16" t="s">
        <v>486</v>
      </c>
      <c r="M73" s="16" t="s">
        <v>821</v>
      </c>
      <c r="N73" s="16" t="s">
        <v>17</v>
      </c>
      <c r="O73" s="16" t="s">
        <v>6921</v>
      </c>
      <c r="P73" s="16" t="s">
        <v>17</v>
      </c>
      <c r="Q73" s="16" t="s">
        <v>6922</v>
      </c>
      <c r="R73" s="16" t="s">
        <v>6923</v>
      </c>
      <c r="S73" s="16" t="s">
        <v>17</v>
      </c>
      <c r="T73" s="16" t="s">
        <v>7550</v>
      </c>
      <c r="U73" s="16" t="s">
        <v>17</v>
      </c>
      <c r="V73" s="16" t="s">
        <v>7839</v>
      </c>
      <c r="W73" s="16" t="s">
        <v>17</v>
      </c>
      <c r="X73" s="16" t="s">
        <v>821</v>
      </c>
      <c r="Y73" s="16" t="s">
        <v>17</v>
      </c>
      <c r="Z73" s="16" t="s">
        <v>6926</v>
      </c>
    </row>
    <row r="74" spans="1:26" x14ac:dyDescent="0.3">
      <c r="A74" s="16">
        <v>73</v>
      </c>
      <c r="B74" s="16" t="s">
        <v>7957</v>
      </c>
      <c r="C74" s="17">
        <v>9781259643835</v>
      </c>
      <c r="D74" s="17">
        <v>9781259643835</v>
      </c>
      <c r="E74" s="16" t="s">
        <v>7216</v>
      </c>
      <c r="F74" s="16" t="s">
        <v>17</v>
      </c>
      <c r="G74" s="16" t="s">
        <v>17</v>
      </c>
      <c r="H74" s="16" t="s">
        <v>17</v>
      </c>
      <c r="I74" s="16" t="s">
        <v>17</v>
      </c>
      <c r="J74" s="16" t="s">
        <v>17</v>
      </c>
      <c r="K74" s="16" t="s">
        <v>995</v>
      </c>
      <c r="L74" s="16" t="s">
        <v>7958</v>
      </c>
      <c r="M74" s="16" t="s">
        <v>7957</v>
      </c>
      <c r="N74" s="16" t="s">
        <v>17</v>
      </c>
      <c r="O74" s="16" t="s">
        <v>6921</v>
      </c>
      <c r="P74" s="16" t="s">
        <v>17</v>
      </c>
      <c r="Q74" s="16" t="s">
        <v>6922</v>
      </c>
      <c r="R74" s="16" t="s">
        <v>6923</v>
      </c>
      <c r="S74" s="16" t="s">
        <v>17</v>
      </c>
      <c r="T74" s="16" t="s">
        <v>7216</v>
      </c>
      <c r="U74" s="16" t="s">
        <v>17</v>
      </c>
      <c r="V74" s="16" t="s">
        <v>7173</v>
      </c>
      <c r="W74" s="16" t="s">
        <v>17</v>
      </c>
      <c r="X74" s="16" t="s">
        <v>7957</v>
      </c>
      <c r="Y74" s="16" t="s">
        <v>17</v>
      </c>
      <c r="Z74" s="16" t="s">
        <v>6926</v>
      </c>
    </row>
    <row r="75" spans="1:26" x14ac:dyDescent="0.3">
      <c r="A75" s="16">
        <v>74</v>
      </c>
      <c r="B75" s="16" t="s">
        <v>7630</v>
      </c>
      <c r="C75" s="17">
        <v>9781260473292</v>
      </c>
      <c r="D75" s="17">
        <v>9781260473292</v>
      </c>
      <c r="E75" s="16" t="s">
        <v>7335</v>
      </c>
      <c r="F75" s="16" t="s">
        <v>17</v>
      </c>
      <c r="G75" s="16" t="s">
        <v>17</v>
      </c>
      <c r="H75" s="16" t="s">
        <v>17</v>
      </c>
      <c r="I75" s="16" t="s">
        <v>17</v>
      </c>
      <c r="J75" s="16" t="s">
        <v>17</v>
      </c>
      <c r="K75" s="16" t="s">
        <v>624</v>
      </c>
      <c r="L75" s="16" t="s">
        <v>623</v>
      </c>
      <c r="M75" s="16" t="s">
        <v>7630</v>
      </c>
      <c r="N75" s="16" t="s">
        <v>17</v>
      </c>
      <c r="O75" s="16" t="s">
        <v>6921</v>
      </c>
      <c r="P75" s="16" t="s">
        <v>17</v>
      </c>
      <c r="Q75" s="16" t="s">
        <v>6922</v>
      </c>
      <c r="R75" s="16" t="s">
        <v>6923</v>
      </c>
      <c r="S75" s="16" t="s">
        <v>17</v>
      </c>
      <c r="T75" s="16" t="s">
        <v>7335</v>
      </c>
      <c r="U75" s="16" t="s">
        <v>17</v>
      </c>
      <c r="V75" s="16" t="s">
        <v>6929</v>
      </c>
      <c r="W75" s="16" t="s">
        <v>17</v>
      </c>
      <c r="X75" s="16" t="s">
        <v>7630</v>
      </c>
      <c r="Y75" s="16" t="s">
        <v>17</v>
      </c>
      <c r="Z75" s="16" t="s">
        <v>6926</v>
      </c>
    </row>
    <row r="76" spans="1:26" x14ac:dyDescent="0.3">
      <c r="A76" s="16">
        <v>75</v>
      </c>
      <c r="B76" s="16" t="s">
        <v>8382</v>
      </c>
      <c r="C76" s="17">
        <v>9780071479370</v>
      </c>
      <c r="D76" s="17">
        <v>9780071479370</v>
      </c>
      <c r="E76" s="16" t="s">
        <v>6920</v>
      </c>
      <c r="F76" s="16" t="s">
        <v>17</v>
      </c>
      <c r="G76" s="16" t="s">
        <v>17</v>
      </c>
      <c r="H76" s="16" t="s">
        <v>17</v>
      </c>
      <c r="I76" s="16" t="s">
        <v>17</v>
      </c>
      <c r="J76" s="16" t="s">
        <v>17</v>
      </c>
      <c r="K76" s="16" t="s">
        <v>1544</v>
      </c>
      <c r="L76" s="16" t="s">
        <v>708</v>
      </c>
      <c r="M76" s="16" t="s">
        <v>8382</v>
      </c>
      <c r="N76" s="16" t="s">
        <v>17</v>
      </c>
      <c r="O76" s="16" t="s">
        <v>6921</v>
      </c>
      <c r="P76" s="16" t="s">
        <v>17</v>
      </c>
      <c r="Q76" s="16" t="s">
        <v>6922</v>
      </c>
      <c r="R76" s="16" t="s">
        <v>6923</v>
      </c>
      <c r="S76" s="16" t="s">
        <v>17</v>
      </c>
      <c r="T76" s="16" t="s">
        <v>6920</v>
      </c>
      <c r="U76" s="16" t="s">
        <v>17</v>
      </c>
      <c r="V76" s="16" t="s">
        <v>7363</v>
      </c>
      <c r="W76" s="16" t="s">
        <v>17</v>
      </c>
      <c r="X76" s="16" t="s">
        <v>8382</v>
      </c>
      <c r="Y76" s="16" t="s">
        <v>17</v>
      </c>
      <c r="Z76" s="16" t="s">
        <v>6926</v>
      </c>
    </row>
    <row r="77" spans="1:26" x14ac:dyDescent="0.3">
      <c r="A77" s="16">
        <v>76</v>
      </c>
      <c r="B77" s="16" t="s">
        <v>8104</v>
      </c>
      <c r="C77" s="17">
        <v>9780071805025</v>
      </c>
      <c r="D77" s="17">
        <v>9780071805025</v>
      </c>
      <c r="E77" s="16" t="s">
        <v>7353</v>
      </c>
      <c r="F77" s="16" t="s">
        <v>17</v>
      </c>
      <c r="G77" s="16" t="s">
        <v>17</v>
      </c>
      <c r="H77" s="16" t="s">
        <v>17</v>
      </c>
      <c r="I77" s="16" t="s">
        <v>17</v>
      </c>
      <c r="J77" s="16" t="s">
        <v>17</v>
      </c>
      <c r="K77" s="16" t="s">
        <v>1190</v>
      </c>
      <c r="L77" s="16" t="s">
        <v>8105</v>
      </c>
      <c r="M77" s="16" t="s">
        <v>8104</v>
      </c>
      <c r="N77" s="16" t="s">
        <v>17</v>
      </c>
      <c r="O77" s="16" t="s">
        <v>6921</v>
      </c>
      <c r="P77" s="16" t="s">
        <v>17</v>
      </c>
      <c r="Q77" s="16" t="s">
        <v>6922</v>
      </c>
      <c r="R77" s="16" t="s">
        <v>6923</v>
      </c>
      <c r="S77" s="16" t="s">
        <v>17</v>
      </c>
      <c r="T77" s="16" t="s">
        <v>7353</v>
      </c>
      <c r="U77" s="16" t="s">
        <v>17</v>
      </c>
      <c r="V77" s="16" t="s">
        <v>6924</v>
      </c>
      <c r="W77" s="16" t="s">
        <v>17</v>
      </c>
      <c r="X77" s="16" t="s">
        <v>8104</v>
      </c>
      <c r="Y77" s="16" t="s">
        <v>17</v>
      </c>
      <c r="Z77" s="16" t="s">
        <v>6926</v>
      </c>
    </row>
    <row r="78" spans="1:26" x14ac:dyDescent="0.3">
      <c r="A78" s="16">
        <v>77</v>
      </c>
      <c r="B78" s="16" t="s">
        <v>849</v>
      </c>
      <c r="C78" s="17">
        <v>9780070599338</v>
      </c>
      <c r="D78" s="17">
        <v>9780070599338</v>
      </c>
      <c r="E78" s="16" t="s">
        <v>6947</v>
      </c>
      <c r="F78" s="16" t="s">
        <v>17</v>
      </c>
      <c r="G78" s="16" t="s">
        <v>17</v>
      </c>
      <c r="H78" s="16" t="s">
        <v>17</v>
      </c>
      <c r="I78" s="16" t="s">
        <v>17</v>
      </c>
      <c r="J78" s="16" t="s">
        <v>17</v>
      </c>
      <c r="K78" s="16" t="s">
        <v>851</v>
      </c>
      <c r="L78" s="16" t="s">
        <v>850</v>
      </c>
      <c r="M78" s="16" t="s">
        <v>849</v>
      </c>
      <c r="N78" s="16" t="s">
        <v>17</v>
      </c>
      <c r="O78" s="16" t="s">
        <v>6921</v>
      </c>
      <c r="P78" s="16" t="s">
        <v>17</v>
      </c>
      <c r="Q78" s="16" t="s">
        <v>6922</v>
      </c>
      <c r="R78" s="16" t="s">
        <v>6923</v>
      </c>
      <c r="S78" s="16" t="s">
        <v>17</v>
      </c>
      <c r="T78" s="16" t="s">
        <v>6947</v>
      </c>
      <c r="U78" s="16" t="s">
        <v>17</v>
      </c>
      <c r="V78" s="16" t="s">
        <v>7049</v>
      </c>
      <c r="W78" s="16" t="s">
        <v>17</v>
      </c>
      <c r="X78" s="16" t="s">
        <v>849</v>
      </c>
      <c r="Y78" s="16" t="s">
        <v>17</v>
      </c>
      <c r="Z78" s="16" t="s">
        <v>6926</v>
      </c>
    </row>
    <row r="79" spans="1:26" x14ac:dyDescent="0.3">
      <c r="A79" s="16">
        <v>78</v>
      </c>
      <c r="B79" s="16" t="s">
        <v>7738</v>
      </c>
      <c r="C79" s="17">
        <v>9781260031102</v>
      </c>
      <c r="D79" s="17">
        <v>9781260031102</v>
      </c>
      <c r="E79" s="16" t="s">
        <v>7739</v>
      </c>
      <c r="F79" s="16" t="s">
        <v>17</v>
      </c>
      <c r="G79" s="16" t="s">
        <v>17</v>
      </c>
      <c r="H79" s="16" t="s">
        <v>17</v>
      </c>
      <c r="I79" s="16" t="s">
        <v>17</v>
      </c>
      <c r="J79" s="16" t="s">
        <v>17</v>
      </c>
      <c r="K79" s="16" t="s">
        <v>725</v>
      </c>
      <c r="L79" s="16" t="s">
        <v>667</v>
      </c>
      <c r="M79" s="16" t="s">
        <v>7738</v>
      </c>
      <c r="N79" s="16" t="s">
        <v>17</v>
      </c>
      <c r="O79" s="16" t="s">
        <v>6921</v>
      </c>
      <c r="P79" s="16" t="s">
        <v>17</v>
      </c>
      <c r="Q79" s="16" t="s">
        <v>6922</v>
      </c>
      <c r="R79" s="16" t="s">
        <v>6923</v>
      </c>
      <c r="S79" s="16" t="s">
        <v>17</v>
      </c>
      <c r="T79" s="16" t="s">
        <v>7739</v>
      </c>
      <c r="U79" s="16" t="s">
        <v>17</v>
      </c>
      <c r="V79" s="16" t="s">
        <v>7024</v>
      </c>
      <c r="W79" s="16" t="s">
        <v>17</v>
      </c>
      <c r="X79" s="16" t="s">
        <v>7738</v>
      </c>
      <c r="Y79" s="16" t="s">
        <v>17</v>
      </c>
      <c r="Z79" s="16" t="s">
        <v>6926</v>
      </c>
    </row>
    <row r="80" spans="1:26" x14ac:dyDescent="0.3">
      <c r="A80" s="16">
        <v>79</v>
      </c>
      <c r="B80" s="16" t="s">
        <v>8192</v>
      </c>
      <c r="C80" s="17">
        <v>9781259644252</v>
      </c>
      <c r="D80" s="17">
        <v>9781259644252</v>
      </c>
      <c r="E80" s="16" t="s">
        <v>8193</v>
      </c>
      <c r="F80" s="16" t="s">
        <v>17</v>
      </c>
      <c r="G80" s="16" t="s">
        <v>17</v>
      </c>
      <c r="H80" s="16" t="s">
        <v>17</v>
      </c>
      <c r="I80" s="16" t="s">
        <v>17</v>
      </c>
      <c r="J80" s="16" t="s">
        <v>17</v>
      </c>
      <c r="K80" s="16" t="s">
        <v>1273</v>
      </c>
      <c r="L80" s="16" t="s">
        <v>1272</v>
      </c>
      <c r="M80" s="16" t="s">
        <v>8192</v>
      </c>
      <c r="N80" s="16" t="s">
        <v>17</v>
      </c>
      <c r="O80" s="16" t="s">
        <v>6921</v>
      </c>
      <c r="P80" s="16" t="s">
        <v>17</v>
      </c>
      <c r="Q80" s="16" t="s">
        <v>6922</v>
      </c>
      <c r="R80" s="16" t="s">
        <v>6923</v>
      </c>
      <c r="S80" s="16" t="s">
        <v>17</v>
      </c>
      <c r="T80" s="16" t="s">
        <v>8193</v>
      </c>
      <c r="U80" s="16" t="s">
        <v>17</v>
      </c>
      <c r="V80" s="16" t="s">
        <v>6929</v>
      </c>
      <c r="W80" s="16" t="s">
        <v>17</v>
      </c>
      <c r="X80" s="16" t="s">
        <v>8192</v>
      </c>
      <c r="Y80" s="16" t="s">
        <v>17</v>
      </c>
      <c r="Z80" s="16" t="s">
        <v>6926</v>
      </c>
    </row>
    <row r="81" spans="1:26" x14ac:dyDescent="0.3">
      <c r="A81" s="16">
        <v>80</v>
      </c>
      <c r="B81" s="16" t="s">
        <v>8346</v>
      </c>
      <c r="C81" s="17">
        <v>9780071834926</v>
      </c>
      <c r="D81" s="17">
        <v>9780071834926</v>
      </c>
      <c r="E81" s="16" t="s">
        <v>7353</v>
      </c>
      <c r="F81" s="16" t="s">
        <v>17</v>
      </c>
      <c r="G81" s="16" t="s">
        <v>17</v>
      </c>
      <c r="H81" s="16" t="s">
        <v>17</v>
      </c>
      <c r="I81" s="16" t="s">
        <v>17</v>
      </c>
      <c r="J81" s="16" t="s">
        <v>17</v>
      </c>
      <c r="K81" s="16" t="s">
        <v>1455</v>
      </c>
      <c r="L81" s="16" t="s">
        <v>1454</v>
      </c>
      <c r="M81" s="16" t="s">
        <v>8346</v>
      </c>
      <c r="N81" s="16" t="s">
        <v>17</v>
      </c>
      <c r="O81" s="16" t="s">
        <v>6921</v>
      </c>
      <c r="P81" s="16" t="s">
        <v>17</v>
      </c>
      <c r="Q81" s="16" t="s">
        <v>6922</v>
      </c>
      <c r="R81" s="16" t="s">
        <v>6923</v>
      </c>
      <c r="S81" s="16" t="s">
        <v>17</v>
      </c>
      <c r="T81" s="16" t="s">
        <v>7353</v>
      </c>
      <c r="U81" s="16" t="s">
        <v>17</v>
      </c>
      <c r="V81" s="16" t="s">
        <v>6929</v>
      </c>
      <c r="W81" s="16" t="s">
        <v>17</v>
      </c>
      <c r="X81" s="16" t="s">
        <v>8346</v>
      </c>
      <c r="Y81" s="16" t="s">
        <v>17</v>
      </c>
      <c r="Z81" s="16" t="s">
        <v>6926</v>
      </c>
    </row>
    <row r="82" spans="1:26" x14ac:dyDescent="0.3">
      <c r="A82" s="16">
        <v>81</v>
      </c>
      <c r="B82" s="16" t="s">
        <v>7722</v>
      </c>
      <c r="C82" s="17">
        <v>9780071737074</v>
      </c>
      <c r="D82" s="17">
        <v>9780071737074</v>
      </c>
      <c r="E82" s="16" t="s">
        <v>6920</v>
      </c>
      <c r="F82" s="16" t="s">
        <v>17</v>
      </c>
      <c r="G82" s="16" t="s">
        <v>17</v>
      </c>
      <c r="H82" s="16" t="s">
        <v>17</v>
      </c>
      <c r="I82" s="16" t="s">
        <v>17</v>
      </c>
      <c r="J82" s="16" t="s">
        <v>17</v>
      </c>
      <c r="K82" s="16" t="s">
        <v>709</v>
      </c>
      <c r="L82" s="16" t="s">
        <v>17</v>
      </c>
      <c r="M82" s="16" t="s">
        <v>7722</v>
      </c>
      <c r="N82" s="16" t="s">
        <v>17</v>
      </c>
      <c r="O82" s="16" t="s">
        <v>6921</v>
      </c>
      <c r="P82" s="16" t="s">
        <v>17</v>
      </c>
      <c r="Q82" s="16" t="s">
        <v>6922</v>
      </c>
      <c r="R82" s="16" t="s">
        <v>6923</v>
      </c>
      <c r="S82" s="16" t="s">
        <v>17</v>
      </c>
      <c r="T82" s="16" t="s">
        <v>6920</v>
      </c>
      <c r="U82" s="16" t="s">
        <v>17</v>
      </c>
      <c r="V82" s="16" t="s">
        <v>6929</v>
      </c>
      <c r="W82" s="16" t="s">
        <v>17</v>
      </c>
      <c r="X82" s="16" t="s">
        <v>7722</v>
      </c>
      <c r="Y82" s="16" t="s">
        <v>17</v>
      </c>
      <c r="Z82" s="16" t="s">
        <v>6926</v>
      </c>
    </row>
    <row r="83" spans="1:26" x14ac:dyDescent="0.3">
      <c r="A83" s="16">
        <v>82</v>
      </c>
      <c r="B83" s="16" t="s">
        <v>1568</v>
      </c>
      <c r="C83" s="17">
        <v>9781259585722</v>
      </c>
      <c r="D83" s="17">
        <v>9781259585722</v>
      </c>
      <c r="E83" s="16" t="s">
        <v>8298</v>
      </c>
      <c r="F83" s="16" t="s">
        <v>17</v>
      </c>
      <c r="G83" s="16" t="s">
        <v>17</v>
      </c>
      <c r="H83" s="16" t="s">
        <v>17</v>
      </c>
      <c r="I83" s="16" t="s">
        <v>17</v>
      </c>
      <c r="J83" s="16" t="s">
        <v>17</v>
      </c>
      <c r="K83" s="16" t="s">
        <v>1359</v>
      </c>
      <c r="L83" s="16" t="s">
        <v>8299</v>
      </c>
      <c r="M83" s="16" t="s">
        <v>1568</v>
      </c>
      <c r="N83" s="16" t="s">
        <v>17</v>
      </c>
      <c r="O83" s="16" t="s">
        <v>6921</v>
      </c>
      <c r="P83" s="16" t="s">
        <v>17</v>
      </c>
      <c r="Q83" s="16" t="s">
        <v>6922</v>
      </c>
      <c r="R83" s="16" t="s">
        <v>6923</v>
      </c>
      <c r="S83" s="16" t="s">
        <v>17</v>
      </c>
      <c r="T83" s="16" t="s">
        <v>8298</v>
      </c>
      <c r="U83" s="16" t="s">
        <v>17</v>
      </c>
      <c r="V83" s="16" t="s">
        <v>6924</v>
      </c>
      <c r="W83" s="16" t="s">
        <v>17</v>
      </c>
      <c r="X83" s="16" t="s">
        <v>1568</v>
      </c>
      <c r="Y83" s="16" t="s">
        <v>17</v>
      </c>
      <c r="Z83" s="16" t="s">
        <v>6926</v>
      </c>
    </row>
    <row r="84" spans="1:26" x14ac:dyDescent="0.3">
      <c r="A84" s="16">
        <v>83</v>
      </c>
      <c r="B84" s="16" t="s">
        <v>1568</v>
      </c>
      <c r="C84" s="17">
        <v>9780071487498</v>
      </c>
      <c r="D84" s="17">
        <v>9780071487498</v>
      </c>
      <c r="E84" s="16" t="s">
        <v>6920</v>
      </c>
      <c r="F84" s="16" t="s">
        <v>17</v>
      </c>
      <c r="G84" s="16" t="s">
        <v>17</v>
      </c>
      <c r="H84" s="16" t="s">
        <v>17</v>
      </c>
      <c r="I84" s="16" t="s">
        <v>17</v>
      </c>
      <c r="J84" s="16" t="s">
        <v>17</v>
      </c>
      <c r="K84" s="16" t="s">
        <v>1570</v>
      </c>
      <c r="L84" s="16" t="s">
        <v>1569</v>
      </c>
      <c r="M84" s="16" t="s">
        <v>1568</v>
      </c>
      <c r="N84" s="16" t="s">
        <v>17</v>
      </c>
      <c r="O84" s="16" t="s">
        <v>6921</v>
      </c>
      <c r="P84" s="16" t="s">
        <v>17</v>
      </c>
      <c r="Q84" s="16" t="s">
        <v>6922</v>
      </c>
      <c r="R84" s="16" t="s">
        <v>6923</v>
      </c>
      <c r="S84" s="16" t="s">
        <v>17</v>
      </c>
      <c r="T84" s="16" t="s">
        <v>6920</v>
      </c>
      <c r="U84" s="16" t="s">
        <v>17</v>
      </c>
      <c r="V84" s="16" t="s">
        <v>7049</v>
      </c>
      <c r="W84" s="16" t="s">
        <v>17</v>
      </c>
      <c r="X84" s="16" t="s">
        <v>1568</v>
      </c>
      <c r="Y84" s="16" t="s">
        <v>17</v>
      </c>
      <c r="Z84" s="16" t="s">
        <v>6926</v>
      </c>
    </row>
    <row r="85" spans="1:26" x14ac:dyDescent="0.3">
      <c r="A85" s="16">
        <v>84</v>
      </c>
      <c r="B85" s="16" t="s">
        <v>7636</v>
      </c>
      <c r="C85" s="17">
        <v>9780071489706</v>
      </c>
      <c r="D85" s="17">
        <v>9780071489706</v>
      </c>
      <c r="E85" s="16" t="s">
        <v>7418</v>
      </c>
      <c r="F85" s="16" t="s">
        <v>17</v>
      </c>
      <c r="G85" s="16" t="s">
        <v>17</v>
      </c>
      <c r="H85" s="16" t="s">
        <v>17</v>
      </c>
      <c r="I85" s="16" t="s">
        <v>17</v>
      </c>
      <c r="J85" s="16" t="s">
        <v>17</v>
      </c>
      <c r="K85" s="16" t="s">
        <v>629</v>
      </c>
      <c r="L85" s="16" t="s">
        <v>17</v>
      </c>
      <c r="M85" s="16" t="s">
        <v>7636</v>
      </c>
      <c r="N85" s="16" t="s">
        <v>17</v>
      </c>
      <c r="O85" s="16" t="s">
        <v>6921</v>
      </c>
      <c r="P85" s="16" t="s">
        <v>17</v>
      </c>
      <c r="Q85" s="16" t="s">
        <v>6922</v>
      </c>
      <c r="R85" s="16" t="s">
        <v>6923</v>
      </c>
      <c r="S85" s="16" t="s">
        <v>17</v>
      </c>
      <c r="T85" s="16" t="s">
        <v>7418</v>
      </c>
      <c r="U85" s="16" t="s">
        <v>17</v>
      </c>
      <c r="V85" s="16" t="s">
        <v>6929</v>
      </c>
      <c r="W85" s="16" t="s">
        <v>272</v>
      </c>
      <c r="X85" s="16" t="s">
        <v>7636</v>
      </c>
      <c r="Y85" s="16" t="s">
        <v>17</v>
      </c>
      <c r="Z85" s="16" t="s">
        <v>6926</v>
      </c>
    </row>
    <row r="86" spans="1:26" x14ac:dyDescent="0.3">
      <c r="A86" s="16">
        <v>85</v>
      </c>
      <c r="B86" s="16" t="s">
        <v>1473</v>
      </c>
      <c r="C86" s="17">
        <v>9780070583207</v>
      </c>
      <c r="D86" s="17">
        <v>9780070583207</v>
      </c>
      <c r="E86" s="16" t="s">
        <v>8353</v>
      </c>
      <c r="F86" s="16" t="s">
        <v>17</v>
      </c>
      <c r="G86" s="16" t="s">
        <v>17</v>
      </c>
      <c r="H86" s="16" t="s">
        <v>17</v>
      </c>
      <c r="I86" s="16" t="s">
        <v>17</v>
      </c>
      <c r="J86" s="16" t="s">
        <v>17</v>
      </c>
      <c r="K86" s="16" t="s">
        <v>1475</v>
      </c>
      <c r="L86" s="16" t="s">
        <v>1474</v>
      </c>
      <c r="M86" s="16" t="s">
        <v>1473</v>
      </c>
      <c r="N86" s="16" t="s">
        <v>17</v>
      </c>
      <c r="O86" s="16" t="s">
        <v>6921</v>
      </c>
      <c r="P86" s="16" t="s">
        <v>17</v>
      </c>
      <c r="Q86" s="16" t="s">
        <v>6922</v>
      </c>
      <c r="R86" s="16" t="s">
        <v>6923</v>
      </c>
      <c r="S86" s="16" t="s">
        <v>17</v>
      </c>
      <c r="T86" s="16" t="s">
        <v>8353</v>
      </c>
      <c r="U86" s="16" t="s">
        <v>17</v>
      </c>
      <c r="V86" s="16" t="s">
        <v>7049</v>
      </c>
      <c r="W86" s="16" t="s">
        <v>17</v>
      </c>
      <c r="X86" s="16" t="s">
        <v>1473</v>
      </c>
      <c r="Y86" s="16" t="s">
        <v>17</v>
      </c>
      <c r="Z86" s="16" t="s">
        <v>6926</v>
      </c>
    </row>
    <row r="87" spans="1:26" x14ac:dyDescent="0.3">
      <c r="A87" s="16">
        <v>86</v>
      </c>
      <c r="B87" s="16" t="s">
        <v>716</v>
      </c>
      <c r="C87" s="17">
        <v>9780071593069</v>
      </c>
      <c r="D87" s="17">
        <v>9780071593069</v>
      </c>
      <c r="E87" s="16" t="s">
        <v>6920</v>
      </c>
      <c r="F87" s="16" t="s">
        <v>17</v>
      </c>
      <c r="G87" s="16" t="s">
        <v>17</v>
      </c>
      <c r="H87" s="16" t="s">
        <v>17</v>
      </c>
      <c r="I87" s="16" t="s">
        <v>17</v>
      </c>
      <c r="J87" s="16" t="s">
        <v>17</v>
      </c>
      <c r="K87" s="16" t="s">
        <v>717</v>
      </c>
      <c r="L87" s="16" t="s">
        <v>607</v>
      </c>
      <c r="M87" s="16" t="s">
        <v>716</v>
      </c>
      <c r="N87" s="16" t="s">
        <v>17</v>
      </c>
      <c r="O87" s="16" t="s">
        <v>6921</v>
      </c>
      <c r="P87" s="16" t="s">
        <v>17</v>
      </c>
      <c r="Q87" s="16" t="s">
        <v>6922</v>
      </c>
      <c r="R87" s="16" t="s">
        <v>6923</v>
      </c>
      <c r="S87" s="16" t="s">
        <v>17</v>
      </c>
      <c r="T87" s="16" t="s">
        <v>6920</v>
      </c>
      <c r="U87" s="16" t="s">
        <v>17</v>
      </c>
      <c r="V87" s="16" t="s">
        <v>7049</v>
      </c>
      <c r="W87" s="16" t="s">
        <v>17</v>
      </c>
      <c r="X87" s="16" t="s">
        <v>716</v>
      </c>
      <c r="Y87" s="16" t="s">
        <v>17</v>
      </c>
      <c r="Z87" s="16" t="s">
        <v>6926</v>
      </c>
    </row>
    <row r="88" spans="1:26" x14ac:dyDescent="0.3">
      <c r="A88" s="16">
        <v>87</v>
      </c>
      <c r="B88" s="16" t="s">
        <v>8341</v>
      </c>
      <c r="C88" s="17">
        <v>9780071598804</v>
      </c>
      <c r="D88" s="17">
        <v>9780071598804</v>
      </c>
      <c r="E88" s="16" t="s">
        <v>6920</v>
      </c>
      <c r="F88" s="16" t="s">
        <v>17</v>
      </c>
      <c r="G88" s="16" t="s">
        <v>17</v>
      </c>
      <c r="H88" s="16" t="s">
        <v>17</v>
      </c>
      <c r="I88" s="16" t="s">
        <v>17</v>
      </c>
      <c r="J88" s="16" t="s">
        <v>17</v>
      </c>
      <c r="K88" s="16" t="s">
        <v>1441</v>
      </c>
      <c r="L88" s="16" t="s">
        <v>17</v>
      </c>
      <c r="M88" s="16" t="s">
        <v>8341</v>
      </c>
      <c r="N88" s="16" t="s">
        <v>17</v>
      </c>
      <c r="O88" s="16" t="s">
        <v>6921</v>
      </c>
      <c r="P88" s="16" t="s">
        <v>17</v>
      </c>
      <c r="Q88" s="16" t="s">
        <v>6922</v>
      </c>
      <c r="R88" s="16" t="s">
        <v>6923</v>
      </c>
      <c r="S88" s="16" t="s">
        <v>17</v>
      </c>
      <c r="T88" s="16" t="s">
        <v>6920</v>
      </c>
      <c r="U88" s="16" t="s">
        <v>17</v>
      </c>
      <c r="V88" s="16" t="s">
        <v>6929</v>
      </c>
      <c r="W88" s="16" t="s">
        <v>1440</v>
      </c>
      <c r="X88" s="16" t="s">
        <v>8341</v>
      </c>
      <c r="Y88" s="16" t="s">
        <v>17</v>
      </c>
      <c r="Z88" s="16" t="s">
        <v>6926</v>
      </c>
    </row>
    <row r="89" spans="1:26" x14ac:dyDescent="0.3">
      <c r="A89" s="16">
        <v>88</v>
      </c>
      <c r="B89" s="16" t="s">
        <v>8035</v>
      </c>
      <c r="C89" s="17">
        <v>9780071498388</v>
      </c>
      <c r="D89" s="17">
        <v>9780071498388</v>
      </c>
      <c r="E89" s="16" t="s">
        <v>6985</v>
      </c>
      <c r="F89" s="16" t="s">
        <v>17</v>
      </c>
      <c r="G89" s="16" t="s">
        <v>17</v>
      </c>
      <c r="H89" s="16" t="s">
        <v>17</v>
      </c>
      <c r="I89" s="16" t="s">
        <v>17</v>
      </c>
      <c r="J89" s="16" t="s">
        <v>17</v>
      </c>
      <c r="K89" s="16" t="s">
        <v>1100</v>
      </c>
      <c r="L89" s="16" t="s">
        <v>182</v>
      </c>
      <c r="M89" s="16" t="s">
        <v>8035</v>
      </c>
      <c r="N89" s="16" t="s">
        <v>17</v>
      </c>
      <c r="O89" s="16" t="s">
        <v>6921</v>
      </c>
      <c r="P89" s="16" t="s">
        <v>17</v>
      </c>
      <c r="Q89" s="16" t="s">
        <v>6922</v>
      </c>
      <c r="R89" s="16" t="s">
        <v>6923</v>
      </c>
      <c r="S89" s="16" t="s">
        <v>17</v>
      </c>
      <c r="T89" s="16" t="s">
        <v>6985</v>
      </c>
      <c r="U89" s="16" t="s">
        <v>17</v>
      </c>
      <c r="V89" s="16" t="s">
        <v>7480</v>
      </c>
      <c r="W89" s="16" t="s">
        <v>17</v>
      </c>
      <c r="X89" s="16" t="s">
        <v>8035</v>
      </c>
      <c r="Y89" s="16" t="s">
        <v>17</v>
      </c>
      <c r="Z89" s="16" t="s">
        <v>6926</v>
      </c>
    </row>
    <row r="90" spans="1:26" x14ac:dyDescent="0.3">
      <c r="A90" s="16">
        <v>89</v>
      </c>
      <c r="B90" s="16" t="s">
        <v>8372</v>
      </c>
      <c r="C90" s="17">
        <v>9780071498395</v>
      </c>
      <c r="D90" s="17">
        <v>9780071498395</v>
      </c>
      <c r="E90" s="16" t="s">
        <v>6920</v>
      </c>
      <c r="F90" s="16" t="s">
        <v>17</v>
      </c>
      <c r="G90" s="16" t="s">
        <v>17</v>
      </c>
      <c r="H90" s="16" t="s">
        <v>17</v>
      </c>
      <c r="I90" s="16" t="s">
        <v>17</v>
      </c>
      <c r="J90" s="16" t="s">
        <v>17</v>
      </c>
      <c r="K90" s="16" t="s">
        <v>1528</v>
      </c>
      <c r="L90" s="16" t="s">
        <v>182</v>
      </c>
      <c r="M90" s="16" t="s">
        <v>8372</v>
      </c>
      <c r="N90" s="16" t="s">
        <v>17</v>
      </c>
      <c r="O90" s="16" t="s">
        <v>6921</v>
      </c>
      <c r="P90" s="16" t="s">
        <v>17</v>
      </c>
      <c r="Q90" s="16" t="s">
        <v>6922</v>
      </c>
      <c r="R90" s="16" t="s">
        <v>6923</v>
      </c>
      <c r="S90" s="16" t="s">
        <v>17</v>
      </c>
      <c r="T90" s="16" t="s">
        <v>6920</v>
      </c>
      <c r="U90" s="16" t="s">
        <v>17</v>
      </c>
      <c r="V90" s="16" t="s">
        <v>7480</v>
      </c>
      <c r="W90" s="16" t="s">
        <v>17</v>
      </c>
      <c r="X90" s="16" t="s">
        <v>8372</v>
      </c>
      <c r="Y90" s="16" t="s">
        <v>17</v>
      </c>
      <c r="Z90" s="16" t="s">
        <v>6926</v>
      </c>
    </row>
    <row r="91" spans="1:26" x14ac:dyDescent="0.3">
      <c r="A91" s="16">
        <v>90</v>
      </c>
      <c r="B91" s="16" t="s">
        <v>8046</v>
      </c>
      <c r="C91" s="17">
        <v>9781260136265</v>
      </c>
      <c r="D91" s="17">
        <v>9781260136265</v>
      </c>
      <c r="E91" s="16" t="s">
        <v>8047</v>
      </c>
      <c r="F91" s="16" t="s">
        <v>17</v>
      </c>
      <c r="G91" s="16" t="s">
        <v>17</v>
      </c>
      <c r="H91" s="16" t="s">
        <v>17</v>
      </c>
      <c r="I91" s="16" t="s">
        <v>17</v>
      </c>
      <c r="J91" s="16" t="s">
        <v>17</v>
      </c>
      <c r="K91" s="16" t="s">
        <v>1124</v>
      </c>
      <c r="L91" s="16" t="s">
        <v>17</v>
      </c>
      <c r="M91" s="16" t="s">
        <v>8046</v>
      </c>
      <c r="N91" s="16" t="s">
        <v>17</v>
      </c>
      <c r="O91" s="16" t="s">
        <v>6921</v>
      </c>
      <c r="P91" s="16" t="s">
        <v>17</v>
      </c>
      <c r="Q91" s="16" t="s">
        <v>6922</v>
      </c>
      <c r="R91" s="16" t="s">
        <v>6923</v>
      </c>
      <c r="S91" s="16" t="s">
        <v>17</v>
      </c>
      <c r="T91" s="16" t="s">
        <v>8047</v>
      </c>
      <c r="U91" s="16" t="s">
        <v>17</v>
      </c>
      <c r="V91" s="16" t="s">
        <v>6949</v>
      </c>
      <c r="W91" s="16" t="s">
        <v>182</v>
      </c>
      <c r="X91" s="16" t="s">
        <v>8046</v>
      </c>
      <c r="Y91" s="16" t="s">
        <v>17</v>
      </c>
      <c r="Z91" s="16" t="s">
        <v>6926</v>
      </c>
    </row>
    <row r="92" spans="1:26" x14ac:dyDescent="0.3">
      <c r="A92" s="16">
        <v>91</v>
      </c>
      <c r="B92" s="16" t="s">
        <v>7779</v>
      </c>
      <c r="C92" s="17">
        <v>9781260464146</v>
      </c>
      <c r="D92" s="17">
        <v>9781260464146</v>
      </c>
      <c r="E92" s="16" t="s">
        <v>7780</v>
      </c>
      <c r="F92" s="16" t="s">
        <v>17</v>
      </c>
      <c r="G92" s="16" t="s">
        <v>17</v>
      </c>
      <c r="H92" s="16" t="s">
        <v>17</v>
      </c>
      <c r="I92" s="16" t="s">
        <v>17</v>
      </c>
      <c r="J92" s="16" t="s">
        <v>17</v>
      </c>
      <c r="K92" s="16" t="s">
        <v>757</v>
      </c>
      <c r="L92" s="16" t="s">
        <v>756</v>
      </c>
      <c r="M92" s="16" t="s">
        <v>7779</v>
      </c>
      <c r="N92" s="16" t="s">
        <v>17</v>
      </c>
      <c r="O92" s="16" t="s">
        <v>6921</v>
      </c>
      <c r="P92" s="16" t="s">
        <v>17</v>
      </c>
      <c r="Q92" s="16" t="s">
        <v>6922</v>
      </c>
      <c r="R92" s="16" t="s">
        <v>6923</v>
      </c>
      <c r="S92" s="16" t="s">
        <v>17</v>
      </c>
      <c r="T92" s="16" t="s">
        <v>7780</v>
      </c>
      <c r="U92" s="16" t="s">
        <v>17</v>
      </c>
      <c r="V92" s="16" t="s">
        <v>6929</v>
      </c>
      <c r="W92" s="16" t="s">
        <v>17</v>
      </c>
      <c r="X92" s="16" t="s">
        <v>7779</v>
      </c>
      <c r="Y92" s="16" t="s">
        <v>17</v>
      </c>
      <c r="Z92" s="16" t="s">
        <v>6926</v>
      </c>
    </row>
    <row r="93" spans="1:26" x14ac:dyDescent="0.3">
      <c r="A93" s="16">
        <v>92</v>
      </c>
      <c r="B93" s="16" t="s">
        <v>7594</v>
      </c>
      <c r="C93" s="17">
        <v>9780070704244</v>
      </c>
      <c r="D93" s="17">
        <v>9780070704244</v>
      </c>
      <c r="E93" s="16" t="s">
        <v>7478</v>
      </c>
      <c r="F93" s="16" t="s">
        <v>17</v>
      </c>
      <c r="G93" s="16" t="s">
        <v>17</v>
      </c>
      <c r="H93" s="16" t="s">
        <v>17</v>
      </c>
      <c r="I93" s="16" t="s">
        <v>17</v>
      </c>
      <c r="J93" s="16" t="s">
        <v>17</v>
      </c>
      <c r="K93" s="16" t="s">
        <v>587</v>
      </c>
      <c r="L93" s="16" t="s">
        <v>586</v>
      </c>
      <c r="M93" s="16" t="s">
        <v>7594</v>
      </c>
      <c r="N93" s="16" t="s">
        <v>17</v>
      </c>
      <c r="O93" s="16" t="s">
        <v>6921</v>
      </c>
      <c r="P93" s="16" t="s">
        <v>17</v>
      </c>
      <c r="Q93" s="16" t="s">
        <v>6922</v>
      </c>
      <c r="R93" s="16" t="s">
        <v>6923</v>
      </c>
      <c r="S93" s="16" t="s">
        <v>17</v>
      </c>
      <c r="T93" s="16" t="s">
        <v>7478</v>
      </c>
      <c r="U93" s="16" t="s">
        <v>17</v>
      </c>
      <c r="V93" s="16" t="s">
        <v>6929</v>
      </c>
      <c r="W93" s="16" t="s">
        <v>17</v>
      </c>
      <c r="X93" s="16" t="s">
        <v>7594</v>
      </c>
      <c r="Y93" s="16" t="s">
        <v>17</v>
      </c>
      <c r="Z93" s="16" t="s">
        <v>6926</v>
      </c>
    </row>
    <row r="94" spans="1:26" x14ac:dyDescent="0.3">
      <c r="A94" s="16">
        <v>93</v>
      </c>
      <c r="B94" s="16" t="s">
        <v>7196</v>
      </c>
      <c r="C94" s="17">
        <v>9780070471788</v>
      </c>
      <c r="D94" s="17">
        <v>9780070471788</v>
      </c>
      <c r="E94" s="16" t="s">
        <v>6920</v>
      </c>
      <c r="F94" s="16" t="s">
        <v>17</v>
      </c>
      <c r="G94" s="16" t="s">
        <v>17</v>
      </c>
      <c r="H94" s="16" t="s">
        <v>17</v>
      </c>
      <c r="I94" s="16" t="s">
        <v>17</v>
      </c>
      <c r="J94" s="16" t="s">
        <v>17</v>
      </c>
      <c r="K94" s="16" t="s">
        <v>240</v>
      </c>
      <c r="L94" s="16" t="s">
        <v>7197</v>
      </c>
      <c r="M94" s="16" t="s">
        <v>7196</v>
      </c>
      <c r="N94" s="16" t="s">
        <v>17</v>
      </c>
      <c r="O94" s="16" t="s">
        <v>6921</v>
      </c>
      <c r="P94" s="16" t="s">
        <v>17</v>
      </c>
      <c r="Q94" s="16" t="s">
        <v>6922</v>
      </c>
      <c r="R94" s="16" t="s">
        <v>6923</v>
      </c>
      <c r="S94" s="16" t="s">
        <v>17</v>
      </c>
      <c r="T94" s="16" t="s">
        <v>6920</v>
      </c>
      <c r="U94" s="16" t="s">
        <v>17</v>
      </c>
      <c r="V94" s="16" t="s">
        <v>6929</v>
      </c>
      <c r="W94" s="16" t="s">
        <v>17</v>
      </c>
      <c r="X94" s="16" t="s">
        <v>7196</v>
      </c>
      <c r="Y94" s="16" t="s">
        <v>17</v>
      </c>
      <c r="Z94" s="16" t="s">
        <v>6926</v>
      </c>
    </row>
    <row r="95" spans="1:26" x14ac:dyDescent="0.3">
      <c r="A95" s="16">
        <v>94</v>
      </c>
      <c r="B95" s="16" t="s">
        <v>7237</v>
      </c>
      <c r="C95" s="17">
        <v>9780071606288</v>
      </c>
      <c r="D95" s="17">
        <v>9780071606288</v>
      </c>
      <c r="E95" s="16" t="s">
        <v>6920</v>
      </c>
      <c r="F95" s="16" t="s">
        <v>17</v>
      </c>
      <c r="G95" s="16" t="s">
        <v>17</v>
      </c>
      <c r="H95" s="16" t="s">
        <v>17</v>
      </c>
      <c r="I95" s="16" t="s">
        <v>17</v>
      </c>
      <c r="J95" s="16" t="s">
        <v>17</v>
      </c>
      <c r="K95" s="16" t="s">
        <v>273</v>
      </c>
      <c r="L95" s="16" t="s">
        <v>17</v>
      </c>
      <c r="M95" s="16" t="s">
        <v>7237</v>
      </c>
      <c r="N95" s="16" t="s">
        <v>17</v>
      </c>
      <c r="O95" s="16" t="s">
        <v>6921</v>
      </c>
      <c r="P95" s="16" t="s">
        <v>17</v>
      </c>
      <c r="Q95" s="16" t="s">
        <v>6922</v>
      </c>
      <c r="R95" s="16" t="s">
        <v>6923</v>
      </c>
      <c r="S95" s="16" t="s">
        <v>17</v>
      </c>
      <c r="T95" s="16" t="s">
        <v>6920</v>
      </c>
      <c r="U95" s="16" t="s">
        <v>17</v>
      </c>
      <c r="V95" s="16" t="s">
        <v>6929</v>
      </c>
      <c r="W95" s="16" t="s">
        <v>272</v>
      </c>
      <c r="X95" s="16" t="s">
        <v>7237</v>
      </c>
      <c r="Y95" s="16" t="s">
        <v>17</v>
      </c>
      <c r="Z95" s="16" t="s">
        <v>6926</v>
      </c>
    </row>
    <row r="96" spans="1:26" x14ac:dyDescent="0.3">
      <c r="A96" s="16">
        <v>95</v>
      </c>
      <c r="B96" s="16" t="s">
        <v>7584</v>
      </c>
      <c r="C96" s="17">
        <v>9780071635745</v>
      </c>
      <c r="D96" s="17">
        <v>9780071635745</v>
      </c>
      <c r="E96" s="16" t="s">
        <v>7372</v>
      </c>
      <c r="F96" s="16" t="s">
        <v>17</v>
      </c>
      <c r="G96" s="16" t="s">
        <v>17</v>
      </c>
      <c r="H96" s="16" t="s">
        <v>17</v>
      </c>
      <c r="I96" s="16" t="s">
        <v>17</v>
      </c>
      <c r="J96" s="16" t="s">
        <v>17</v>
      </c>
      <c r="K96" s="16" t="s">
        <v>575</v>
      </c>
      <c r="L96" s="16" t="s">
        <v>7585</v>
      </c>
      <c r="M96" s="16" t="s">
        <v>7584</v>
      </c>
      <c r="N96" s="16" t="s">
        <v>17</v>
      </c>
      <c r="O96" s="16" t="s">
        <v>6921</v>
      </c>
      <c r="P96" s="16" t="s">
        <v>17</v>
      </c>
      <c r="Q96" s="16" t="s">
        <v>6922</v>
      </c>
      <c r="R96" s="16" t="s">
        <v>6923</v>
      </c>
      <c r="S96" s="16" t="s">
        <v>17</v>
      </c>
      <c r="T96" s="16" t="s">
        <v>7372</v>
      </c>
      <c r="U96" s="16" t="s">
        <v>17</v>
      </c>
      <c r="V96" s="16" t="s">
        <v>6929</v>
      </c>
      <c r="W96" s="16" t="s">
        <v>17</v>
      </c>
      <c r="X96" s="16" t="s">
        <v>7584</v>
      </c>
      <c r="Y96" s="16" t="s">
        <v>17</v>
      </c>
      <c r="Z96" s="16" t="s">
        <v>6926</v>
      </c>
    </row>
    <row r="97" spans="1:26" x14ac:dyDescent="0.3">
      <c r="A97" s="16">
        <v>96</v>
      </c>
      <c r="B97" s="16" t="s">
        <v>8112</v>
      </c>
      <c r="C97" s="17">
        <v>9781260026993</v>
      </c>
      <c r="D97" s="17">
        <v>9781260026993</v>
      </c>
      <c r="E97" s="16" t="s">
        <v>8004</v>
      </c>
      <c r="F97" s="16" t="s">
        <v>17</v>
      </c>
      <c r="G97" s="16" t="s">
        <v>17</v>
      </c>
      <c r="H97" s="16" t="s">
        <v>17</v>
      </c>
      <c r="I97" s="16" t="s">
        <v>17</v>
      </c>
      <c r="J97" s="16" t="s">
        <v>17</v>
      </c>
      <c r="K97" s="16" t="s">
        <v>1198</v>
      </c>
      <c r="L97" s="16" t="s">
        <v>1197</v>
      </c>
      <c r="M97" s="16" t="s">
        <v>8112</v>
      </c>
      <c r="N97" s="16" t="s">
        <v>17</v>
      </c>
      <c r="O97" s="16" t="s">
        <v>6921</v>
      </c>
      <c r="P97" s="16" t="s">
        <v>17</v>
      </c>
      <c r="Q97" s="16" t="s">
        <v>6922</v>
      </c>
      <c r="R97" s="16" t="s">
        <v>6923</v>
      </c>
      <c r="S97" s="16" t="s">
        <v>17</v>
      </c>
      <c r="T97" s="16" t="s">
        <v>8004</v>
      </c>
      <c r="U97" s="16" t="s">
        <v>17</v>
      </c>
      <c r="V97" s="16" t="s">
        <v>6944</v>
      </c>
      <c r="W97" s="16" t="s">
        <v>17</v>
      </c>
      <c r="X97" s="16" t="s">
        <v>8112</v>
      </c>
      <c r="Y97" s="16" t="s">
        <v>17</v>
      </c>
      <c r="Z97" s="16" t="s">
        <v>6926</v>
      </c>
    </row>
    <row r="98" spans="1:26" x14ac:dyDescent="0.3">
      <c r="A98" s="16">
        <v>97</v>
      </c>
      <c r="B98" s="16" t="s">
        <v>7304</v>
      </c>
      <c r="C98" s="17">
        <v>9780071668088</v>
      </c>
      <c r="D98" s="17">
        <v>9780071668088</v>
      </c>
      <c r="E98" s="16" t="s">
        <v>7057</v>
      </c>
      <c r="F98" s="16" t="s">
        <v>17</v>
      </c>
      <c r="G98" s="16" t="s">
        <v>17</v>
      </c>
      <c r="H98" s="16" t="s">
        <v>17</v>
      </c>
      <c r="I98" s="16" t="s">
        <v>17</v>
      </c>
      <c r="J98" s="16" t="s">
        <v>17</v>
      </c>
      <c r="K98" s="16" t="s">
        <v>320</v>
      </c>
      <c r="L98" s="16" t="s">
        <v>319</v>
      </c>
      <c r="M98" s="16" t="s">
        <v>7304</v>
      </c>
      <c r="N98" s="16" t="s">
        <v>17</v>
      </c>
      <c r="O98" s="16" t="s">
        <v>6921</v>
      </c>
      <c r="P98" s="16" t="s">
        <v>17</v>
      </c>
      <c r="Q98" s="16" t="s">
        <v>6922</v>
      </c>
      <c r="R98" s="16" t="s">
        <v>6923</v>
      </c>
      <c r="S98" s="16" t="s">
        <v>17</v>
      </c>
      <c r="T98" s="16" t="s">
        <v>7057</v>
      </c>
      <c r="U98" s="16" t="s">
        <v>17</v>
      </c>
      <c r="V98" s="16" t="s">
        <v>6924</v>
      </c>
      <c r="W98" s="16" t="s">
        <v>17</v>
      </c>
      <c r="X98" s="16" t="s">
        <v>7304</v>
      </c>
      <c r="Y98" s="16" t="s">
        <v>17</v>
      </c>
      <c r="Z98" s="16" t="s">
        <v>6926</v>
      </c>
    </row>
    <row r="99" spans="1:26" x14ac:dyDescent="0.3">
      <c r="A99" s="16">
        <v>98</v>
      </c>
      <c r="B99" s="16" t="s">
        <v>7579</v>
      </c>
      <c r="C99" s="17">
        <v>9780071822831</v>
      </c>
      <c r="D99" s="17">
        <v>9780071822831</v>
      </c>
      <c r="E99" s="16" t="s">
        <v>7105</v>
      </c>
      <c r="F99" s="16" t="s">
        <v>17</v>
      </c>
      <c r="G99" s="16" t="s">
        <v>17</v>
      </c>
      <c r="H99" s="16" t="s">
        <v>17</v>
      </c>
      <c r="I99" s="16" t="s">
        <v>17</v>
      </c>
      <c r="J99" s="16" t="s">
        <v>17</v>
      </c>
      <c r="K99" s="16" t="s">
        <v>569</v>
      </c>
      <c r="L99" s="16" t="s">
        <v>568</v>
      </c>
      <c r="M99" s="16" t="s">
        <v>7579</v>
      </c>
      <c r="N99" s="16" t="s">
        <v>17</v>
      </c>
      <c r="O99" s="16" t="s">
        <v>6921</v>
      </c>
      <c r="P99" s="16" t="s">
        <v>17</v>
      </c>
      <c r="Q99" s="16" t="s">
        <v>6922</v>
      </c>
      <c r="R99" s="16" t="s">
        <v>6923</v>
      </c>
      <c r="S99" s="16" t="s">
        <v>17</v>
      </c>
      <c r="T99" s="16" t="s">
        <v>7105</v>
      </c>
      <c r="U99" s="16" t="s">
        <v>17</v>
      </c>
      <c r="V99" s="16" t="s">
        <v>6929</v>
      </c>
      <c r="W99" s="16" t="s">
        <v>17</v>
      </c>
      <c r="X99" s="16" t="s">
        <v>7579</v>
      </c>
      <c r="Y99" s="16" t="s">
        <v>17</v>
      </c>
      <c r="Z99" s="16" t="s">
        <v>6926</v>
      </c>
    </row>
    <row r="100" spans="1:26" x14ac:dyDescent="0.3">
      <c r="A100" s="16">
        <v>99</v>
      </c>
      <c r="B100" s="16" t="s">
        <v>8397</v>
      </c>
      <c r="C100" s="17">
        <v>9781264989669</v>
      </c>
      <c r="D100" s="17">
        <v>9781264989669</v>
      </c>
      <c r="E100" s="16" t="s">
        <v>8398</v>
      </c>
      <c r="F100" s="16" t="s">
        <v>17</v>
      </c>
      <c r="G100" s="16" t="s">
        <v>17</v>
      </c>
      <c r="H100" s="16" t="s">
        <v>17</v>
      </c>
      <c r="I100" s="16" t="s">
        <v>17</v>
      </c>
      <c r="J100" s="16" t="s">
        <v>17</v>
      </c>
      <c r="K100" s="16" t="s">
        <v>1595</v>
      </c>
      <c r="L100" s="16" t="s">
        <v>8399</v>
      </c>
      <c r="M100" s="16" t="s">
        <v>8397</v>
      </c>
      <c r="N100" s="16" t="s">
        <v>17</v>
      </c>
      <c r="O100" s="16" t="s">
        <v>6921</v>
      </c>
      <c r="P100" s="16" t="s">
        <v>17</v>
      </c>
      <c r="Q100" s="16" t="s">
        <v>6922</v>
      </c>
      <c r="R100" s="16" t="s">
        <v>6923</v>
      </c>
      <c r="S100" s="16" t="s">
        <v>17</v>
      </c>
      <c r="T100" s="16" t="s">
        <v>8398</v>
      </c>
      <c r="U100" s="16" t="s">
        <v>17</v>
      </c>
      <c r="V100" s="16" t="s">
        <v>6929</v>
      </c>
      <c r="W100" s="16" t="s">
        <v>17</v>
      </c>
      <c r="X100" s="16" t="s">
        <v>8397</v>
      </c>
      <c r="Y100" s="16" t="s">
        <v>17</v>
      </c>
      <c r="Z100" s="16" t="s">
        <v>6926</v>
      </c>
    </row>
    <row r="101" spans="1:26" x14ac:dyDescent="0.3">
      <c r="A101" s="16">
        <v>100</v>
      </c>
      <c r="B101" s="16" t="s">
        <v>6950</v>
      </c>
      <c r="C101" s="17">
        <v>9780071545914</v>
      </c>
      <c r="D101" s="17">
        <v>9780071545914</v>
      </c>
      <c r="E101" s="16" t="s">
        <v>6920</v>
      </c>
      <c r="F101" s="16" t="s">
        <v>17</v>
      </c>
      <c r="G101" s="16" t="s">
        <v>17</v>
      </c>
      <c r="H101" s="16" t="s">
        <v>17</v>
      </c>
      <c r="I101" s="16" t="s">
        <v>17</v>
      </c>
      <c r="J101" s="16" t="s">
        <v>17</v>
      </c>
      <c r="K101" s="16" t="s">
        <v>37</v>
      </c>
      <c r="L101" s="16" t="s">
        <v>6951</v>
      </c>
      <c r="M101" s="16" t="s">
        <v>6950</v>
      </c>
      <c r="N101" s="16" t="s">
        <v>17</v>
      </c>
      <c r="O101" s="16" t="s">
        <v>6921</v>
      </c>
      <c r="P101" s="16" t="s">
        <v>17</v>
      </c>
      <c r="Q101" s="16" t="s">
        <v>6922</v>
      </c>
      <c r="R101" s="16" t="s">
        <v>6923</v>
      </c>
      <c r="S101" s="16" t="s">
        <v>17</v>
      </c>
      <c r="T101" s="16" t="s">
        <v>6920</v>
      </c>
      <c r="U101" s="16" t="s">
        <v>17</v>
      </c>
      <c r="V101" s="16" t="s">
        <v>6929</v>
      </c>
      <c r="W101" s="16" t="s">
        <v>17</v>
      </c>
      <c r="X101" s="16" t="s">
        <v>6950</v>
      </c>
      <c r="Y101" s="16" t="s">
        <v>17</v>
      </c>
      <c r="Z101" s="16" t="s">
        <v>6926</v>
      </c>
    </row>
    <row r="102" spans="1:26" x14ac:dyDescent="0.3">
      <c r="A102" s="16">
        <v>101</v>
      </c>
      <c r="B102" s="16" t="s">
        <v>835</v>
      </c>
      <c r="C102" s="17">
        <v>9780070656956</v>
      </c>
      <c r="D102" s="17">
        <v>9780070656956</v>
      </c>
      <c r="E102" s="16" t="s">
        <v>6947</v>
      </c>
      <c r="F102" s="16" t="s">
        <v>17</v>
      </c>
      <c r="G102" s="16" t="s">
        <v>17</v>
      </c>
      <c r="H102" s="16" t="s">
        <v>17</v>
      </c>
      <c r="I102" s="16" t="s">
        <v>17</v>
      </c>
      <c r="J102" s="16" t="s">
        <v>17</v>
      </c>
      <c r="K102" s="16" t="s">
        <v>837</v>
      </c>
      <c r="L102" s="16" t="s">
        <v>836</v>
      </c>
      <c r="M102" s="16" t="s">
        <v>835</v>
      </c>
      <c r="N102" s="16" t="s">
        <v>17</v>
      </c>
      <c r="O102" s="16" t="s">
        <v>6921</v>
      </c>
      <c r="P102" s="16" t="s">
        <v>17</v>
      </c>
      <c r="Q102" s="16" t="s">
        <v>6922</v>
      </c>
      <c r="R102" s="16" t="s">
        <v>6923</v>
      </c>
      <c r="S102" s="16" t="s">
        <v>17</v>
      </c>
      <c r="T102" s="16" t="s">
        <v>6947</v>
      </c>
      <c r="U102" s="16" t="s">
        <v>17</v>
      </c>
      <c r="V102" s="16" t="s">
        <v>7183</v>
      </c>
      <c r="W102" s="16" t="s">
        <v>17</v>
      </c>
      <c r="X102" s="16" t="s">
        <v>835</v>
      </c>
      <c r="Y102" s="16" t="s">
        <v>17</v>
      </c>
      <c r="Z102" s="16" t="s">
        <v>6926</v>
      </c>
    </row>
    <row r="103" spans="1:26" x14ac:dyDescent="0.3">
      <c r="A103" s="16">
        <v>102</v>
      </c>
      <c r="B103" s="16" t="s">
        <v>8221</v>
      </c>
      <c r="C103" s="17">
        <v>9781259643095</v>
      </c>
      <c r="D103" s="17">
        <v>9781259643095</v>
      </c>
      <c r="E103" s="16" t="s">
        <v>7314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6" t="s">
        <v>1300</v>
      </c>
      <c r="L103" s="16" t="s">
        <v>8222</v>
      </c>
      <c r="M103" s="16" t="s">
        <v>8221</v>
      </c>
      <c r="N103" s="16" t="s">
        <v>17</v>
      </c>
      <c r="O103" s="16" t="s">
        <v>6921</v>
      </c>
      <c r="P103" s="16" t="s">
        <v>17</v>
      </c>
      <c r="Q103" s="16" t="s">
        <v>6922</v>
      </c>
      <c r="R103" s="16" t="s">
        <v>6923</v>
      </c>
      <c r="S103" s="16" t="s">
        <v>17</v>
      </c>
      <c r="T103" s="16" t="s">
        <v>7314</v>
      </c>
      <c r="U103" s="16" t="s">
        <v>17</v>
      </c>
      <c r="V103" s="16" t="s">
        <v>7024</v>
      </c>
      <c r="W103" s="16" t="s">
        <v>17</v>
      </c>
      <c r="X103" s="16" t="s">
        <v>8221</v>
      </c>
      <c r="Y103" s="16" t="s">
        <v>17</v>
      </c>
      <c r="Z103" s="16" t="s">
        <v>6926</v>
      </c>
    </row>
    <row r="104" spans="1:26" x14ac:dyDescent="0.3">
      <c r="A104" s="16">
        <v>103</v>
      </c>
      <c r="B104" s="16" t="s">
        <v>1411</v>
      </c>
      <c r="C104" s="17">
        <v>9780071752497</v>
      </c>
      <c r="D104" s="17">
        <v>9780071752497</v>
      </c>
      <c r="E104" s="16" t="s">
        <v>8332</v>
      </c>
      <c r="F104" s="16" t="s">
        <v>17</v>
      </c>
      <c r="G104" s="16" t="s">
        <v>17</v>
      </c>
      <c r="H104" s="16" t="s">
        <v>17</v>
      </c>
      <c r="I104" s="16" t="s">
        <v>17</v>
      </c>
      <c r="J104" s="16" t="s">
        <v>17</v>
      </c>
      <c r="K104" s="16" t="s">
        <v>1412</v>
      </c>
      <c r="L104" s="16" t="s">
        <v>8333</v>
      </c>
      <c r="M104" s="16" t="s">
        <v>1411</v>
      </c>
      <c r="N104" s="16" t="s">
        <v>17</v>
      </c>
      <c r="O104" s="16" t="s">
        <v>6921</v>
      </c>
      <c r="P104" s="16" t="s">
        <v>17</v>
      </c>
      <c r="Q104" s="16" t="s">
        <v>6922</v>
      </c>
      <c r="R104" s="16" t="s">
        <v>6923</v>
      </c>
      <c r="S104" s="16" t="s">
        <v>17</v>
      </c>
      <c r="T104" s="16" t="s">
        <v>8332</v>
      </c>
      <c r="U104" s="16" t="s">
        <v>17</v>
      </c>
      <c r="V104" s="16" t="s">
        <v>7892</v>
      </c>
      <c r="W104" s="16" t="s">
        <v>17</v>
      </c>
      <c r="X104" s="16" t="s">
        <v>1411</v>
      </c>
      <c r="Y104" s="16" t="s">
        <v>17</v>
      </c>
      <c r="Z104" s="16" t="s">
        <v>6926</v>
      </c>
    </row>
    <row r="105" spans="1:26" x14ac:dyDescent="0.3">
      <c r="A105" s="16">
        <v>104</v>
      </c>
      <c r="B105" s="16" t="s">
        <v>8396</v>
      </c>
      <c r="C105" s="17">
        <v>9780071351454</v>
      </c>
      <c r="D105" s="17">
        <v>9780071351454</v>
      </c>
      <c r="E105" s="16" t="s">
        <v>7057</v>
      </c>
      <c r="F105" s="16" t="s">
        <v>17</v>
      </c>
      <c r="G105" s="16" t="s">
        <v>17</v>
      </c>
      <c r="H105" s="16" t="s">
        <v>17</v>
      </c>
      <c r="I105" s="16" t="s">
        <v>17</v>
      </c>
      <c r="J105" s="16" t="s">
        <v>17</v>
      </c>
      <c r="K105" s="16" t="s">
        <v>1594</v>
      </c>
      <c r="L105" s="16" t="s">
        <v>7943</v>
      </c>
      <c r="M105" s="16" t="s">
        <v>8396</v>
      </c>
      <c r="N105" s="16" t="s">
        <v>17</v>
      </c>
      <c r="O105" s="16" t="s">
        <v>6921</v>
      </c>
      <c r="P105" s="16" t="s">
        <v>17</v>
      </c>
      <c r="Q105" s="16" t="s">
        <v>6922</v>
      </c>
      <c r="R105" s="16" t="s">
        <v>6923</v>
      </c>
      <c r="S105" s="16" t="s">
        <v>17</v>
      </c>
      <c r="T105" s="16" t="s">
        <v>7057</v>
      </c>
      <c r="U105" s="16" t="s">
        <v>17</v>
      </c>
      <c r="V105" s="16" t="s">
        <v>6929</v>
      </c>
      <c r="W105" s="16" t="s">
        <v>17</v>
      </c>
      <c r="X105" s="16" t="s">
        <v>8396</v>
      </c>
      <c r="Y105" s="16" t="s">
        <v>17</v>
      </c>
      <c r="Z105" s="16" t="s">
        <v>6926</v>
      </c>
    </row>
    <row r="106" spans="1:26" x14ac:dyDescent="0.3">
      <c r="A106" s="16">
        <v>105</v>
      </c>
      <c r="B106" s="16" t="s">
        <v>7941</v>
      </c>
      <c r="C106" s="17">
        <v>9781259644900</v>
      </c>
      <c r="D106" s="17">
        <v>9781259644900</v>
      </c>
      <c r="E106" s="16" t="s">
        <v>7942</v>
      </c>
      <c r="F106" s="16" t="s">
        <v>17</v>
      </c>
      <c r="G106" s="16" t="s">
        <v>17</v>
      </c>
      <c r="H106" s="16" t="s">
        <v>17</v>
      </c>
      <c r="I106" s="16" t="s">
        <v>17</v>
      </c>
      <c r="J106" s="16" t="s">
        <v>17</v>
      </c>
      <c r="K106" s="16" t="s">
        <v>964</v>
      </c>
      <c r="L106" s="16" t="s">
        <v>7943</v>
      </c>
      <c r="M106" s="16" t="s">
        <v>7941</v>
      </c>
      <c r="N106" s="16" t="s">
        <v>17</v>
      </c>
      <c r="O106" s="16" t="s">
        <v>6921</v>
      </c>
      <c r="P106" s="16" t="s">
        <v>17</v>
      </c>
      <c r="Q106" s="16" t="s">
        <v>6922</v>
      </c>
      <c r="R106" s="16" t="s">
        <v>6923</v>
      </c>
      <c r="S106" s="16" t="s">
        <v>17</v>
      </c>
      <c r="T106" s="16" t="s">
        <v>7942</v>
      </c>
      <c r="U106" s="16" t="s">
        <v>17</v>
      </c>
      <c r="V106" s="16" t="s">
        <v>6949</v>
      </c>
      <c r="W106" s="16" t="s">
        <v>17</v>
      </c>
      <c r="X106" s="16" t="s">
        <v>7941</v>
      </c>
      <c r="Y106" s="16" t="s">
        <v>17</v>
      </c>
      <c r="Z106" s="16" t="s">
        <v>6926</v>
      </c>
    </row>
    <row r="107" spans="1:26" x14ac:dyDescent="0.3">
      <c r="A107" s="16">
        <v>106</v>
      </c>
      <c r="B107" s="16" t="s">
        <v>451</v>
      </c>
      <c r="C107" s="17">
        <v>9780070527683</v>
      </c>
      <c r="D107" s="17">
        <v>9780070527683</v>
      </c>
      <c r="E107" s="16" t="s">
        <v>6920</v>
      </c>
      <c r="F107" s="16" t="s">
        <v>17</v>
      </c>
      <c r="G107" s="16" t="s">
        <v>17</v>
      </c>
      <c r="H107" s="16" t="s">
        <v>17</v>
      </c>
      <c r="I107" s="16" t="s">
        <v>17</v>
      </c>
      <c r="J107" s="16" t="s">
        <v>17</v>
      </c>
      <c r="K107" s="16" t="s">
        <v>453</v>
      </c>
      <c r="L107" s="16" t="s">
        <v>452</v>
      </c>
      <c r="M107" s="16" t="s">
        <v>451</v>
      </c>
      <c r="N107" s="16" t="s">
        <v>17</v>
      </c>
      <c r="O107" s="16" t="s">
        <v>6921</v>
      </c>
      <c r="P107" s="16" t="s">
        <v>17</v>
      </c>
      <c r="Q107" s="16" t="s">
        <v>6922</v>
      </c>
      <c r="R107" s="16" t="s">
        <v>6923</v>
      </c>
      <c r="S107" s="16" t="s">
        <v>17</v>
      </c>
      <c r="T107" s="16" t="s">
        <v>6920</v>
      </c>
      <c r="U107" s="16" t="s">
        <v>17</v>
      </c>
      <c r="V107" s="16" t="s">
        <v>7049</v>
      </c>
      <c r="W107" s="16" t="s">
        <v>17</v>
      </c>
      <c r="X107" s="16" t="s">
        <v>451</v>
      </c>
      <c r="Y107" s="16" t="s">
        <v>17</v>
      </c>
      <c r="Z107" s="16" t="s">
        <v>6926</v>
      </c>
    </row>
    <row r="108" spans="1:26" x14ac:dyDescent="0.3">
      <c r="A108" s="16">
        <v>107</v>
      </c>
      <c r="B108" s="16" t="s">
        <v>7224</v>
      </c>
      <c r="C108" s="17">
        <v>9780071391337</v>
      </c>
      <c r="D108" s="17">
        <v>9780071391337</v>
      </c>
      <c r="E108" s="16" t="s">
        <v>7127</v>
      </c>
      <c r="F108" s="16" t="s">
        <v>17</v>
      </c>
      <c r="G108" s="16" t="s">
        <v>17</v>
      </c>
      <c r="H108" s="16" t="s">
        <v>17</v>
      </c>
      <c r="I108" s="16" t="s">
        <v>17</v>
      </c>
      <c r="J108" s="16" t="s">
        <v>17</v>
      </c>
      <c r="K108" s="16" t="s">
        <v>260</v>
      </c>
      <c r="L108" s="16" t="s">
        <v>259</v>
      </c>
      <c r="M108" s="16" t="s">
        <v>7224</v>
      </c>
      <c r="N108" s="16" t="s">
        <v>17</v>
      </c>
      <c r="O108" s="16" t="s">
        <v>6921</v>
      </c>
      <c r="P108" s="16" t="s">
        <v>17</v>
      </c>
      <c r="Q108" s="16" t="s">
        <v>6922</v>
      </c>
      <c r="R108" s="16" t="s">
        <v>6923</v>
      </c>
      <c r="S108" s="16" t="s">
        <v>17</v>
      </c>
      <c r="T108" s="16" t="s">
        <v>7127</v>
      </c>
      <c r="U108" s="16" t="s">
        <v>17</v>
      </c>
      <c r="V108" s="16" t="s">
        <v>6929</v>
      </c>
      <c r="W108" s="16" t="s">
        <v>17</v>
      </c>
      <c r="X108" s="16" t="s">
        <v>7224</v>
      </c>
      <c r="Y108" s="16" t="s">
        <v>17</v>
      </c>
      <c r="Z108" s="16" t="s">
        <v>6926</v>
      </c>
    </row>
    <row r="109" spans="1:26" x14ac:dyDescent="0.3">
      <c r="A109" s="16">
        <v>108</v>
      </c>
      <c r="B109" s="16" t="s">
        <v>8172</v>
      </c>
      <c r="C109" s="17">
        <v>9780071842372</v>
      </c>
      <c r="D109" s="17">
        <v>9780071842372</v>
      </c>
      <c r="E109" s="16" t="s">
        <v>7043</v>
      </c>
      <c r="F109" s="16" t="s">
        <v>17</v>
      </c>
      <c r="G109" s="16" t="s">
        <v>17</v>
      </c>
      <c r="H109" s="16" t="s">
        <v>17</v>
      </c>
      <c r="I109" s="16" t="s">
        <v>17</v>
      </c>
      <c r="J109" s="16" t="s">
        <v>17</v>
      </c>
      <c r="K109" s="16" t="s">
        <v>1255</v>
      </c>
      <c r="L109" s="16" t="s">
        <v>8173</v>
      </c>
      <c r="M109" s="16" t="s">
        <v>8172</v>
      </c>
      <c r="N109" s="16" t="s">
        <v>17</v>
      </c>
      <c r="O109" s="16" t="s">
        <v>6921</v>
      </c>
      <c r="P109" s="16" t="s">
        <v>17</v>
      </c>
      <c r="Q109" s="16" t="s">
        <v>6922</v>
      </c>
      <c r="R109" s="16" t="s">
        <v>6923</v>
      </c>
      <c r="S109" s="16" t="s">
        <v>17</v>
      </c>
      <c r="T109" s="16" t="s">
        <v>7043</v>
      </c>
      <c r="U109" s="16" t="s">
        <v>17</v>
      </c>
      <c r="V109" s="16" t="s">
        <v>6929</v>
      </c>
      <c r="W109" s="16" t="s">
        <v>17</v>
      </c>
      <c r="X109" s="16" t="s">
        <v>8172</v>
      </c>
      <c r="Y109" s="16" t="s">
        <v>17</v>
      </c>
      <c r="Z109" s="16" t="s">
        <v>6926</v>
      </c>
    </row>
    <row r="110" spans="1:26" x14ac:dyDescent="0.3">
      <c r="A110" s="16">
        <v>109</v>
      </c>
      <c r="B110" s="16" t="s">
        <v>8141</v>
      </c>
      <c r="C110" s="17">
        <v>9780071822282</v>
      </c>
      <c r="D110" s="17">
        <v>9780071822282</v>
      </c>
      <c r="E110" s="16" t="s">
        <v>6995</v>
      </c>
      <c r="F110" s="16" t="s">
        <v>17</v>
      </c>
      <c r="G110" s="16" t="s">
        <v>17</v>
      </c>
      <c r="H110" s="16" t="s">
        <v>17</v>
      </c>
      <c r="I110" s="16" t="s">
        <v>17</v>
      </c>
      <c r="J110" s="16" t="s">
        <v>17</v>
      </c>
      <c r="K110" s="16" t="s">
        <v>1232</v>
      </c>
      <c r="L110" s="16" t="s">
        <v>483</v>
      </c>
      <c r="M110" s="16" t="s">
        <v>8141</v>
      </c>
      <c r="N110" s="16" t="s">
        <v>17</v>
      </c>
      <c r="O110" s="16" t="s">
        <v>6921</v>
      </c>
      <c r="P110" s="16" t="s">
        <v>17</v>
      </c>
      <c r="Q110" s="16" t="s">
        <v>6922</v>
      </c>
      <c r="R110" s="16" t="s">
        <v>6923</v>
      </c>
      <c r="S110" s="16" t="s">
        <v>17</v>
      </c>
      <c r="T110" s="16" t="s">
        <v>6995</v>
      </c>
      <c r="U110" s="16" t="s">
        <v>17</v>
      </c>
      <c r="V110" s="16" t="s">
        <v>6929</v>
      </c>
      <c r="W110" s="16" t="s">
        <v>17</v>
      </c>
      <c r="X110" s="16" t="s">
        <v>8141</v>
      </c>
      <c r="Y110" s="16" t="s">
        <v>17</v>
      </c>
      <c r="Z110" s="16" t="s">
        <v>6926</v>
      </c>
    </row>
    <row r="111" spans="1:26" x14ac:dyDescent="0.3">
      <c r="A111" s="16">
        <v>110</v>
      </c>
      <c r="B111" s="16" t="s">
        <v>8030</v>
      </c>
      <c r="C111" s="17">
        <v>9780071799706</v>
      </c>
      <c r="D111" s="17">
        <v>9780071799706</v>
      </c>
      <c r="E111" s="16" t="s">
        <v>7302</v>
      </c>
      <c r="F111" s="16" t="s">
        <v>17</v>
      </c>
      <c r="G111" s="16" t="s">
        <v>17</v>
      </c>
      <c r="H111" s="16" t="s">
        <v>17</v>
      </c>
      <c r="I111" s="16" t="s">
        <v>17</v>
      </c>
      <c r="J111" s="16" t="s">
        <v>17</v>
      </c>
      <c r="K111" s="16" t="s">
        <v>1094</v>
      </c>
      <c r="L111" s="16" t="s">
        <v>1093</v>
      </c>
      <c r="M111" s="16" t="s">
        <v>8030</v>
      </c>
      <c r="N111" s="16" t="s">
        <v>17</v>
      </c>
      <c r="O111" s="16" t="s">
        <v>6921</v>
      </c>
      <c r="P111" s="16" t="s">
        <v>17</v>
      </c>
      <c r="Q111" s="16" t="s">
        <v>6922</v>
      </c>
      <c r="R111" s="16" t="s">
        <v>6923</v>
      </c>
      <c r="S111" s="16" t="s">
        <v>17</v>
      </c>
      <c r="T111" s="16" t="s">
        <v>7302</v>
      </c>
      <c r="U111" s="16" t="s">
        <v>17</v>
      </c>
      <c r="V111" s="16" t="s">
        <v>6929</v>
      </c>
      <c r="W111" s="16" t="s">
        <v>17</v>
      </c>
      <c r="X111" s="16" t="s">
        <v>8030</v>
      </c>
      <c r="Y111" s="16" t="s">
        <v>17</v>
      </c>
      <c r="Z111" s="16" t="s">
        <v>6926</v>
      </c>
    </row>
    <row r="112" spans="1:26" x14ac:dyDescent="0.3">
      <c r="A112" s="16">
        <v>111</v>
      </c>
      <c r="B112" s="16" t="s">
        <v>7137</v>
      </c>
      <c r="C112" s="17">
        <v>9781259006067</v>
      </c>
      <c r="D112" s="17">
        <v>9781259006067</v>
      </c>
      <c r="E112" s="16" t="s">
        <v>6987</v>
      </c>
      <c r="F112" s="16" t="s">
        <v>17</v>
      </c>
      <c r="G112" s="16" t="s">
        <v>17</v>
      </c>
      <c r="H112" s="16" t="s">
        <v>17</v>
      </c>
      <c r="I112" s="16" t="s">
        <v>17</v>
      </c>
      <c r="J112" s="16" t="s">
        <v>17</v>
      </c>
      <c r="K112" s="16" t="s">
        <v>195</v>
      </c>
      <c r="L112" s="16" t="s">
        <v>7138</v>
      </c>
      <c r="M112" s="16" t="s">
        <v>7137</v>
      </c>
      <c r="N112" s="16" t="s">
        <v>17</v>
      </c>
      <c r="O112" s="16" t="s">
        <v>6921</v>
      </c>
      <c r="P112" s="16" t="s">
        <v>17</v>
      </c>
      <c r="Q112" s="16" t="s">
        <v>6922</v>
      </c>
      <c r="R112" s="16" t="s">
        <v>6923</v>
      </c>
      <c r="S112" s="16" t="s">
        <v>17</v>
      </c>
      <c r="T112" s="16" t="s">
        <v>6987</v>
      </c>
      <c r="U112" s="16" t="s">
        <v>17</v>
      </c>
      <c r="V112" s="16" t="s">
        <v>6929</v>
      </c>
      <c r="W112" s="16" t="s">
        <v>17</v>
      </c>
      <c r="X112" s="16" t="s">
        <v>7137</v>
      </c>
      <c r="Y112" s="16" t="s">
        <v>17</v>
      </c>
      <c r="Z112" s="16" t="s">
        <v>6926</v>
      </c>
    </row>
    <row r="113" spans="1:26" x14ac:dyDescent="0.3">
      <c r="A113" s="16">
        <v>112</v>
      </c>
      <c r="B113" s="16" t="s">
        <v>7428</v>
      </c>
      <c r="C113" s="17">
        <v>9780070419995</v>
      </c>
      <c r="D113" s="17">
        <v>9780070419995</v>
      </c>
      <c r="E113" s="16" t="s">
        <v>7036</v>
      </c>
      <c r="F113" s="16" t="s">
        <v>17</v>
      </c>
      <c r="G113" s="16" t="s">
        <v>17</v>
      </c>
      <c r="H113" s="16" t="s">
        <v>17</v>
      </c>
      <c r="I113" s="16" t="s">
        <v>17</v>
      </c>
      <c r="J113" s="16" t="s">
        <v>17</v>
      </c>
      <c r="K113" s="16" t="s">
        <v>435</v>
      </c>
      <c r="L113" s="16" t="s">
        <v>434</v>
      </c>
      <c r="M113" s="16" t="s">
        <v>7428</v>
      </c>
      <c r="N113" s="16" t="s">
        <v>17</v>
      </c>
      <c r="O113" s="16" t="s">
        <v>6921</v>
      </c>
      <c r="P113" s="16" t="s">
        <v>17</v>
      </c>
      <c r="Q113" s="16" t="s">
        <v>6922</v>
      </c>
      <c r="R113" s="16" t="s">
        <v>6923</v>
      </c>
      <c r="S113" s="16" t="s">
        <v>17</v>
      </c>
      <c r="T113" s="16" t="s">
        <v>7036</v>
      </c>
      <c r="U113" s="16" t="s">
        <v>17</v>
      </c>
      <c r="V113" s="16" t="s">
        <v>7429</v>
      </c>
      <c r="W113" s="16" t="s">
        <v>17</v>
      </c>
      <c r="X113" s="16" t="s">
        <v>7428</v>
      </c>
      <c r="Y113" s="16" t="s">
        <v>17</v>
      </c>
      <c r="Z113" s="16" t="s">
        <v>6926</v>
      </c>
    </row>
    <row r="114" spans="1:26" x14ac:dyDescent="0.3">
      <c r="A114" s="16">
        <v>113</v>
      </c>
      <c r="B114" s="16" t="s">
        <v>7917</v>
      </c>
      <c r="C114" s="17">
        <v>9781259860805</v>
      </c>
      <c r="D114" s="17">
        <v>9781259860805</v>
      </c>
      <c r="E114" s="16" t="s">
        <v>7739</v>
      </c>
      <c r="F114" s="16" t="s">
        <v>17</v>
      </c>
      <c r="G114" s="16" t="s">
        <v>17</v>
      </c>
      <c r="H114" s="16" t="s">
        <v>17</v>
      </c>
      <c r="I114" s="16" t="s">
        <v>17</v>
      </c>
      <c r="J114" s="16" t="s">
        <v>17</v>
      </c>
      <c r="K114" s="16" t="s">
        <v>933</v>
      </c>
      <c r="L114" s="16" t="s">
        <v>932</v>
      </c>
      <c r="M114" s="16" t="s">
        <v>7917</v>
      </c>
      <c r="N114" s="16" t="s">
        <v>17</v>
      </c>
      <c r="O114" s="16" t="s">
        <v>6921</v>
      </c>
      <c r="P114" s="16" t="s">
        <v>17</v>
      </c>
      <c r="Q114" s="16" t="s">
        <v>6922</v>
      </c>
      <c r="R114" s="16" t="s">
        <v>6923</v>
      </c>
      <c r="S114" s="16" t="s">
        <v>17</v>
      </c>
      <c r="T114" s="16" t="s">
        <v>7739</v>
      </c>
      <c r="U114" s="16" t="s">
        <v>17</v>
      </c>
      <c r="V114" s="16" t="s">
        <v>6929</v>
      </c>
      <c r="W114" s="16" t="s">
        <v>17</v>
      </c>
      <c r="X114" s="16" t="s">
        <v>7917</v>
      </c>
      <c r="Y114" s="16" t="s">
        <v>17</v>
      </c>
      <c r="Z114" s="16" t="s">
        <v>6926</v>
      </c>
    </row>
    <row r="115" spans="1:26" x14ac:dyDescent="0.3">
      <c r="A115" s="16">
        <v>114</v>
      </c>
      <c r="B115" s="16" t="s">
        <v>7048</v>
      </c>
      <c r="C115" s="17">
        <v>9780071494533</v>
      </c>
      <c r="D115" s="17">
        <v>9780071494533</v>
      </c>
      <c r="E115" s="16" t="s">
        <v>6920</v>
      </c>
      <c r="F115" s="16" t="s">
        <v>17</v>
      </c>
      <c r="G115" s="16" t="s">
        <v>17</v>
      </c>
      <c r="H115" s="16" t="s">
        <v>17</v>
      </c>
      <c r="I115" s="16" t="s">
        <v>17</v>
      </c>
      <c r="J115" s="16" t="s">
        <v>17</v>
      </c>
      <c r="K115" s="16" t="s">
        <v>110</v>
      </c>
      <c r="L115" s="16" t="s">
        <v>109</v>
      </c>
      <c r="M115" s="16" t="s">
        <v>7048</v>
      </c>
      <c r="N115" s="16" t="s">
        <v>17</v>
      </c>
      <c r="O115" s="16" t="s">
        <v>6921</v>
      </c>
      <c r="P115" s="16" t="s">
        <v>17</v>
      </c>
      <c r="Q115" s="16" t="s">
        <v>6922</v>
      </c>
      <c r="R115" s="16" t="s">
        <v>6923</v>
      </c>
      <c r="S115" s="16" t="s">
        <v>17</v>
      </c>
      <c r="T115" s="16" t="s">
        <v>6920</v>
      </c>
      <c r="U115" s="16" t="s">
        <v>17</v>
      </c>
      <c r="V115" s="16" t="s">
        <v>6929</v>
      </c>
      <c r="W115" s="16" t="s">
        <v>17</v>
      </c>
      <c r="X115" s="16" t="s">
        <v>7048</v>
      </c>
      <c r="Y115" s="16" t="s">
        <v>17</v>
      </c>
      <c r="Z115" s="16" t="s">
        <v>6926</v>
      </c>
    </row>
    <row r="116" spans="1:26" x14ac:dyDescent="0.3">
      <c r="A116" s="16">
        <v>115</v>
      </c>
      <c r="B116" s="16" t="s">
        <v>7899</v>
      </c>
      <c r="C116" s="17">
        <v>9781259861833</v>
      </c>
      <c r="D116" s="17">
        <v>9781259861833</v>
      </c>
      <c r="E116" s="16" t="s">
        <v>7900</v>
      </c>
      <c r="F116" s="16" t="s">
        <v>17</v>
      </c>
      <c r="G116" s="16" t="s">
        <v>17</v>
      </c>
      <c r="H116" s="16" t="s">
        <v>17</v>
      </c>
      <c r="I116" s="16" t="s">
        <v>17</v>
      </c>
      <c r="J116" s="16" t="s">
        <v>17</v>
      </c>
      <c r="K116" s="16" t="s">
        <v>902</v>
      </c>
      <c r="L116" s="16" t="s">
        <v>901</v>
      </c>
      <c r="M116" s="16" t="s">
        <v>7899</v>
      </c>
      <c r="N116" s="16" t="s">
        <v>17</v>
      </c>
      <c r="O116" s="16" t="s">
        <v>6921</v>
      </c>
      <c r="P116" s="16" t="s">
        <v>17</v>
      </c>
      <c r="Q116" s="16" t="s">
        <v>6922</v>
      </c>
      <c r="R116" s="16" t="s">
        <v>6923</v>
      </c>
      <c r="S116" s="16" t="s">
        <v>17</v>
      </c>
      <c r="T116" s="16" t="s">
        <v>7900</v>
      </c>
      <c r="U116" s="16" t="s">
        <v>17</v>
      </c>
      <c r="V116" s="16" t="s">
        <v>6929</v>
      </c>
      <c r="W116" s="16" t="s">
        <v>17</v>
      </c>
      <c r="X116" s="16" t="s">
        <v>7899</v>
      </c>
      <c r="Y116" s="16" t="s">
        <v>17</v>
      </c>
      <c r="Z116" s="16" t="s">
        <v>6926</v>
      </c>
    </row>
    <row r="117" spans="1:26" x14ac:dyDescent="0.3">
      <c r="A117" s="16">
        <v>116</v>
      </c>
      <c r="B117" s="16" t="s">
        <v>7746</v>
      </c>
      <c r="C117" s="17">
        <v>9780071476898</v>
      </c>
      <c r="D117" s="17">
        <v>9780071476898</v>
      </c>
      <c r="E117" s="16" t="s">
        <v>6920</v>
      </c>
      <c r="F117" s="16" t="s">
        <v>17</v>
      </c>
      <c r="G117" s="16" t="s">
        <v>17</v>
      </c>
      <c r="H117" s="16" t="s">
        <v>17</v>
      </c>
      <c r="I117" s="16" t="s">
        <v>17</v>
      </c>
      <c r="J117" s="16" t="s">
        <v>17</v>
      </c>
      <c r="K117" s="16" t="s">
        <v>733</v>
      </c>
      <c r="L117" s="16" t="s">
        <v>7747</v>
      </c>
      <c r="M117" s="16" t="s">
        <v>7746</v>
      </c>
      <c r="N117" s="16" t="s">
        <v>17</v>
      </c>
      <c r="O117" s="16" t="s">
        <v>6921</v>
      </c>
      <c r="P117" s="16" t="s">
        <v>17</v>
      </c>
      <c r="Q117" s="16" t="s">
        <v>6922</v>
      </c>
      <c r="R117" s="16" t="s">
        <v>6923</v>
      </c>
      <c r="S117" s="16" t="s">
        <v>17</v>
      </c>
      <c r="T117" s="16" t="s">
        <v>6920</v>
      </c>
      <c r="U117" s="16" t="s">
        <v>17</v>
      </c>
      <c r="V117" s="16" t="s">
        <v>6949</v>
      </c>
      <c r="W117" s="16" t="s">
        <v>17</v>
      </c>
      <c r="X117" s="16" t="s">
        <v>7746</v>
      </c>
      <c r="Y117" s="16" t="s">
        <v>17</v>
      </c>
      <c r="Z117" s="16" t="s">
        <v>6926</v>
      </c>
    </row>
    <row r="118" spans="1:26" x14ac:dyDescent="0.3">
      <c r="A118" s="16">
        <v>117</v>
      </c>
      <c r="B118" s="16" t="s">
        <v>8149</v>
      </c>
      <c r="C118" s="17">
        <v>9781260452778</v>
      </c>
      <c r="D118" s="17">
        <v>9781260452778</v>
      </c>
      <c r="E118" s="16" t="s">
        <v>8150</v>
      </c>
      <c r="F118" s="16" t="s">
        <v>17</v>
      </c>
      <c r="G118" s="16" t="s">
        <v>17</v>
      </c>
      <c r="H118" s="16" t="s">
        <v>17</v>
      </c>
      <c r="I118" s="16" t="s">
        <v>17</v>
      </c>
      <c r="J118" s="16" t="s">
        <v>17</v>
      </c>
      <c r="K118" s="16" t="s">
        <v>1238</v>
      </c>
      <c r="L118" s="16" t="s">
        <v>1237</v>
      </c>
      <c r="M118" s="16" t="s">
        <v>8149</v>
      </c>
      <c r="N118" s="16" t="s">
        <v>17</v>
      </c>
      <c r="O118" s="16" t="s">
        <v>6921</v>
      </c>
      <c r="P118" s="16" t="s">
        <v>17</v>
      </c>
      <c r="Q118" s="16" t="s">
        <v>6922</v>
      </c>
      <c r="R118" s="16" t="s">
        <v>6923</v>
      </c>
      <c r="S118" s="16" t="s">
        <v>17</v>
      </c>
      <c r="T118" s="16" t="s">
        <v>8150</v>
      </c>
      <c r="U118" s="16" t="s">
        <v>17</v>
      </c>
      <c r="V118" s="16" t="s">
        <v>6929</v>
      </c>
      <c r="W118" s="16" t="s">
        <v>17</v>
      </c>
      <c r="X118" s="16" t="s">
        <v>8149</v>
      </c>
      <c r="Y118" s="16" t="s">
        <v>17</v>
      </c>
      <c r="Z118" s="16" t="s">
        <v>6926</v>
      </c>
    </row>
    <row r="119" spans="1:26" x14ac:dyDescent="0.3">
      <c r="A119" s="16">
        <v>118</v>
      </c>
      <c r="B119" s="16" t="s">
        <v>7807</v>
      </c>
      <c r="C119" s="17">
        <v>9780071748834</v>
      </c>
      <c r="D119" s="17">
        <v>9780071748834</v>
      </c>
      <c r="E119" s="16" t="s">
        <v>6965</v>
      </c>
      <c r="F119" s="16" t="s">
        <v>17</v>
      </c>
      <c r="G119" s="16" t="s">
        <v>17</v>
      </c>
      <c r="H119" s="16" t="s">
        <v>17</v>
      </c>
      <c r="I119" s="16" t="s">
        <v>17</v>
      </c>
      <c r="J119" s="16" t="s">
        <v>17</v>
      </c>
      <c r="K119" s="16" t="s">
        <v>782</v>
      </c>
      <c r="L119" s="16" t="s">
        <v>781</v>
      </c>
      <c r="M119" s="16" t="s">
        <v>7807</v>
      </c>
      <c r="N119" s="16" t="s">
        <v>17</v>
      </c>
      <c r="O119" s="16" t="s">
        <v>6921</v>
      </c>
      <c r="P119" s="16" t="s">
        <v>17</v>
      </c>
      <c r="Q119" s="16" t="s">
        <v>6922</v>
      </c>
      <c r="R119" s="16" t="s">
        <v>6923</v>
      </c>
      <c r="S119" s="16" t="s">
        <v>17</v>
      </c>
      <c r="T119" s="16" t="s">
        <v>6965</v>
      </c>
      <c r="U119" s="16" t="s">
        <v>17</v>
      </c>
      <c r="V119" s="16" t="s">
        <v>6924</v>
      </c>
      <c r="W119" s="16" t="s">
        <v>17</v>
      </c>
      <c r="X119" s="16" t="s">
        <v>7807</v>
      </c>
      <c r="Y119" s="16" t="s">
        <v>17</v>
      </c>
      <c r="Z119" s="16" t="s">
        <v>6926</v>
      </c>
    </row>
    <row r="120" spans="1:26" x14ac:dyDescent="0.3">
      <c r="A120" s="16">
        <v>119</v>
      </c>
      <c r="B120" s="16" t="s">
        <v>6986</v>
      </c>
      <c r="C120" s="17">
        <v>9781259028472</v>
      </c>
      <c r="D120" s="17">
        <v>9781259028472</v>
      </c>
      <c r="E120" s="16" t="s">
        <v>6987</v>
      </c>
      <c r="F120" s="16" t="s">
        <v>17</v>
      </c>
      <c r="G120" s="16" t="s">
        <v>17</v>
      </c>
      <c r="H120" s="16" t="s">
        <v>17</v>
      </c>
      <c r="I120" s="16" t="s">
        <v>17</v>
      </c>
      <c r="J120" s="16" t="s">
        <v>17</v>
      </c>
      <c r="K120" s="16" t="s">
        <v>65</v>
      </c>
      <c r="L120" s="16" t="s">
        <v>63</v>
      </c>
      <c r="M120" s="16" t="s">
        <v>6986</v>
      </c>
      <c r="N120" s="16" t="s">
        <v>17</v>
      </c>
      <c r="O120" s="16" t="s">
        <v>6921</v>
      </c>
      <c r="P120" s="16" t="s">
        <v>17</v>
      </c>
      <c r="Q120" s="16" t="s">
        <v>6922</v>
      </c>
      <c r="R120" s="16" t="s">
        <v>6923</v>
      </c>
      <c r="S120" s="16" t="s">
        <v>17</v>
      </c>
      <c r="T120" s="16" t="s">
        <v>6987</v>
      </c>
      <c r="U120" s="16" t="s">
        <v>17</v>
      </c>
      <c r="V120" s="16" t="s">
        <v>6924</v>
      </c>
      <c r="W120" s="16" t="s">
        <v>17</v>
      </c>
      <c r="X120" s="16" t="s">
        <v>6986</v>
      </c>
      <c r="Y120" s="16" t="s">
        <v>17</v>
      </c>
      <c r="Z120" s="16" t="s">
        <v>6926</v>
      </c>
    </row>
    <row r="121" spans="1:26" x14ac:dyDescent="0.3">
      <c r="A121" s="16">
        <v>120</v>
      </c>
      <c r="B121" s="16" t="s">
        <v>6956</v>
      </c>
      <c r="C121" s="17">
        <v>9780071377577</v>
      </c>
      <c r="D121" s="17">
        <v>9780071377577</v>
      </c>
      <c r="E121" s="16" t="s">
        <v>6920</v>
      </c>
      <c r="F121" s="16" t="s">
        <v>17</v>
      </c>
      <c r="G121" s="16" t="s">
        <v>17</v>
      </c>
      <c r="H121" s="16" t="s">
        <v>17</v>
      </c>
      <c r="I121" s="16" t="s">
        <v>17</v>
      </c>
      <c r="J121" s="16" t="s">
        <v>17</v>
      </c>
      <c r="K121" s="16" t="s">
        <v>43</v>
      </c>
      <c r="L121" s="16" t="s">
        <v>17</v>
      </c>
      <c r="M121" s="16" t="s">
        <v>6956</v>
      </c>
      <c r="N121" s="16" t="s">
        <v>17</v>
      </c>
      <c r="O121" s="16" t="s">
        <v>6921</v>
      </c>
      <c r="P121" s="16" t="s">
        <v>17</v>
      </c>
      <c r="Q121" s="16" t="s">
        <v>6922</v>
      </c>
      <c r="R121" s="16" t="s">
        <v>6923</v>
      </c>
      <c r="S121" s="16" t="s">
        <v>17</v>
      </c>
      <c r="T121" s="16" t="s">
        <v>6920</v>
      </c>
      <c r="U121" s="16" t="s">
        <v>17</v>
      </c>
      <c r="V121" s="16" t="s">
        <v>6929</v>
      </c>
      <c r="W121" s="16" t="s">
        <v>6957</v>
      </c>
      <c r="X121" s="16" t="s">
        <v>6956</v>
      </c>
      <c r="Y121" s="16" t="s">
        <v>17</v>
      </c>
      <c r="Z121" s="16" t="s">
        <v>6926</v>
      </c>
    </row>
    <row r="122" spans="1:26" x14ac:dyDescent="0.3">
      <c r="A122" s="16">
        <v>121</v>
      </c>
      <c r="B122" s="16" t="s">
        <v>6975</v>
      </c>
      <c r="C122" s="17">
        <v>9780071848565</v>
      </c>
      <c r="D122" s="17">
        <v>9780071848565</v>
      </c>
      <c r="E122" s="16" t="s">
        <v>6976</v>
      </c>
      <c r="F122" s="16" t="s">
        <v>17</v>
      </c>
      <c r="G122" s="16" t="s">
        <v>17</v>
      </c>
      <c r="H122" s="16" t="s">
        <v>17</v>
      </c>
      <c r="I122" s="16" t="s">
        <v>17</v>
      </c>
      <c r="J122" s="16" t="s">
        <v>17</v>
      </c>
      <c r="K122" s="16" t="s">
        <v>55</v>
      </c>
      <c r="L122" s="16" t="s">
        <v>6977</v>
      </c>
      <c r="M122" s="16" t="s">
        <v>6975</v>
      </c>
      <c r="N122" s="16" t="s">
        <v>17</v>
      </c>
      <c r="O122" s="16" t="s">
        <v>6921</v>
      </c>
      <c r="P122" s="16" t="s">
        <v>17</v>
      </c>
      <c r="Q122" s="16" t="s">
        <v>6922</v>
      </c>
      <c r="R122" s="16" t="s">
        <v>6923</v>
      </c>
      <c r="S122" s="16" t="s">
        <v>17</v>
      </c>
      <c r="T122" s="16" t="s">
        <v>6976</v>
      </c>
      <c r="U122" s="16" t="s">
        <v>17</v>
      </c>
      <c r="V122" s="16" t="s">
        <v>6929</v>
      </c>
      <c r="W122" s="16" t="s">
        <v>17</v>
      </c>
      <c r="X122" s="16" t="s">
        <v>6975</v>
      </c>
      <c r="Y122" s="16" t="s">
        <v>17</v>
      </c>
      <c r="Z122" s="16" t="s">
        <v>6926</v>
      </c>
    </row>
    <row r="123" spans="1:26" x14ac:dyDescent="0.3">
      <c r="A123" s="16">
        <v>122</v>
      </c>
      <c r="B123" s="16" t="s">
        <v>8404</v>
      </c>
      <c r="C123" s="17">
        <v>9781260467598</v>
      </c>
      <c r="D123" s="17">
        <v>9781260467598</v>
      </c>
      <c r="E123" s="16" t="s">
        <v>8405</v>
      </c>
      <c r="F123" s="16" t="s">
        <v>17</v>
      </c>
      <c r="G123" s="16" t="s">
        <v>17</v>
      </c>
      <c r="H123" s="16" t="s">
        <v>17</v>
      </c>
      <c r="I123" s="16" t="s">
        <v>17</v>
      </c>
      <c r="J123" s="16" t="s">
        <v>17</v>
      </c>
      <c r="K123" s="16" t="s">
        <v>1601</v>
      </c>
      <c r="L123" s="16" t="s">
        <v>8406</v>
      </c>
      <c r="M123" s="16" t="s">
        <v>8404</v>
      </c>
      <c r="N123" s="16" t="s">
        <v>17</v>
      </c>
      <c r="O123" s="16" t="s">
        <v>6921</v>
      </c>
      <c r="P123" s="16" t="s">
        <v>17</v>
      </c>
      <c r="Q123" s="16" t="s">
        <v>6922</v>
      </c>
      <c r="R123" s="16" t="s">
        <v>6923</v>
      </c>
      <c r="S123" s="16" t="s">
        <v>17</v>
      </c>
      <c r="T123" s="16" t="s">
        <v>8405</v>
      </c>
      <c r="U123" s="16" t="s">
        <v>17</v>
      </c>
      <c r="V123" s="16" t="s">
        <v>6929</v>
      </c>
      <c r="W123" s="16" t="s">
        <v>17</v>
      </c>
      <c r="X123" s="16" t="s">
        <v>8404</v>
      </c>
      <c r="Y123" s="16" t="s">
        <v>17</v>
      </c>
      <c r="Z123" s="16" t="s">
        <v>6926</v>
      </c>
    </row>
    <row r="124" spans="1:26" x14ac:dyDescent="0.3">
      <c r="A124" s="16">
        <v>123</v>
      </c>
      <c r="B124" s="16" t="s">
        <v>7590</v>
      </c>
      <c r="C124" s="17">
        <v>9780071639606</v>
      </c>
      <c r="D124" s="17">
        <v>9780071639606</v>
      </c>
      <c r="E124" s="16" t="s">
        <v>6920</v>
      </c>
      <c r="F124" s="16" t="s">
        <v>17</v>
      </c>
      <c r="G124" s="16" t="s">
        <v>17</v>
      </c>
      <c r="H124" s="16" t="s">
        <v>17</v>
      </c>
      <c r="I124" s="16" t="s">
        <v>17</v>
      </c>
      <c r="J124" s="16" t="s">
        <v>17</v>
      </c>
      <c r="K124" s="16" t="s">
        <v>581</v>
      </c>
      <c r="L124" s="16" t="s">
        <v>17</v>
      </c>
      <c r="M124" s="16" t="s">
        <v>7590</v>
      </c>
      <c r="N124" s="16" t="s">
        <v>17</v>
      </c>
      <c r="O124" s="16" t="s">
        <v>6921</v>
      </c>
      <c r="P124" s="16" t="s">
        <v>17</v>
      </c>
      <c r="Q124" s="16" t="s">
        <v>6922</v>
      </c>
      <c r="R124" s="16" t="s">
        <v>6923</v>
      </c>
      <c r="S124" s="16" t="s">
        <v>17</v>
      </c>
      <c r="T124" s="16" t="s">
        <v>6920</v>
      </c>
      <c r="U124" s="16" t="s">
        <v>17</v>
      </c>
      <c r="V124" s="16" t="s">
        <v>6929</v>
      </c>
      <c r="W124" s="16" t="s">
        <v>580</v>
      </c>
      <c r="X124" s="16" t="s">
        <v>7590</v>
      </c>
      <c r="Y124" s="16" t="s">
        <v>17</v>
      </c>
      <c r="Z124" s="16" t="s">
        <v>6926</v>
      </c>
    </row>
    <row r="125" spans="1:26" x14ac:dyDescent="0.3">
      <c r="A125" s="16">
        <v>124</v>
      </c>
      <c r="B125" s="16" t="s">
        <v>8305</v>
      </c>
      <c r="C125" s="17">
        <v>9781260457643</v>
      </c>
      <c r="D125" s="17">
        <v>9781260457643</v>
      </c>
      <c r="E125" s="16" t="s">
        <v>8107</v>
      </c>
      <c r="F125" s="16" t="s">
        <v>17</v>
      </c>
      <c r="G125" s="16" t="s">
        <v>17</v>
      </c>
      <c r="H125" s="16" t="s">
        <v>17</v>
      </c>
      <c r="I125" s="16" t="s">
        <v>17</v>
      </c>
      <c r="J125" s="16" t="s">
        <v>17</v>
      </c>
      <c r="K125" s="16" t="s">
        <v>1363</v>
      </c>
      <c r="L125" s="16" t="s">
        <v>8306</v>
      </c>
      <c r="M125" s="16" t="s">
        <v>8305</v>
      </c>
      <c r="N125" s="16" t="s">
        <v>17</v>
      </c>
      <c r="O125" s="16" t="s">
        <v>6921</v>
      </c>
      <c r="P125" s="16" t="s">
        <v>17</v>
      </c>
      <c r="Q125" s="16" t="s">
        <v>6922</v>
      </c>
      <c r="R125" s="16" t="s">
        <v>6923</v>
      </c>
      <c r="S125" s="16" t="s">
        <v>17</v>
      </c>
      <c r="T125" s="16" t="s">
        <v>8107</v>
      </c>
      <c r="U125" s="16" t="s">
        <v>17</v>
      </c>
      <c r="V125" s="16" t="s">
        <v>6929</v>
      </c>
      <c r="W125" s="16" t="s">
        <v>17</v>
      </c>
      <c r="X125" s="16" t="s">
        <v>8305</v>
      </c>
      <c r="Y125" s="16" t="s">
        <v>17</v>
      </c>
      <c r="Z125" s="16" t="s">
        <v>6926</v>
      </c>
    </row>
    <row r="126" spans="1:26" x14ac:dyDescent="0.3">
      <c r="A126" s="16">
        <v>125</v>
      </c>
      <c r="B126" s="16" t="s">
        <v>7850</v>
      </c>
      <c r="C126" s="17">
        <v>9781259587429</v>
      </c>
      <c r="D126" s="17">
        <v>9781259587429</v>
      </c>
      <c r="E126" s="16" t="s">
        <v>7851</v>
      </c>
      <c r="F126" s="16" t="s">
        <v>17</v>
      </c>
      <c r="G126" s="16" t="s">
        <v>17</v>
      </c>
      <c r="H126" s="16" t="s">
        <v>17</v>
      </c>
      <c r="I126" s="16" t="s">
        <v>17</v>
      </c>
      <c r="J126" s="16" t="s">
        <v>17</v>
      </c>
      <c r="K126" s="16" t="s">
        <v>844</v>
      </c>
      <c r="L126" s="16" t="s">
        <v>7507</v>
      </c>
      <c r="M126" s="16" t="s">
        <v>7850</v>
      </c>
      <c r="N126" s="16" t="s">
        <v>17</v>
      </c>
      <c r="O126" s="16" t="s">
        <v>6921</v>
      </c>
      <c r="P126" s="16" t="s">
        <v>17</v>
      </c>
      <c r="Q126" s="16" t="s">
        <v>6922</v>
      </c>
      <c r="R126" s="16" t="s">
        <v>6923</v>
      </c>
      <c r="S126" s="16" t="s">
        <v>17</v>
      </c>
      <c r="T126" s="16" t="s">
        <v>7851</v>
      </c>
      <c r="U126" s="16" t="s">
        <v>17</v>
      </c>
      <c r="V126" s="16" t="s">
        <v>7072</v>
      </c>
      <c r="W126" s="16" t="s">
        <v>17</v>
      </c>
      <c r="X126" s="16" t="s">
        <v>7850</v>
      </c>
      <c r="Y126" s="16" t="s">
        <v>17</v>
      </c>
      <c r="Z126" s="16" t="s">
        <v>6926</v>
      </c>
    </row>
    <row r="127" spans="1:26" x14ac:dyDescent="0.3">
      <c r="A127" s="16">
        <v>126</v>
      </c>
      <c r="B127" s="16" t="s">
        <v>7633</v>
      </c>
      <c r="C127" s="17">
        <v>9780071826600</v>
      </c>
      <c r="D127" s="17">
        <v>9780071826600</v>
      </c>
      <c r="E127" s="16" t="s">
        <v>7263</v>
      </c>
      <c r="F127" s="16" t="s">
        <v>17</v>
      </c>
      <c r="G127" s="16" t="s">
        <v>17</v>
      </c>
      <c r="H127" s="16" t="s">
        <v>17</v>
      </c>
      <c r="I127" s="16" t="s">
        <v>17</v>
      </c>
      <c r="J127" s="16" t="s">
        <v>17</v>
      </c>
      <c r="K127" s="16" t="s">
        <v>627</v>
      </c>
      <c r="L127" s="16" t="s">
        <v>626</v>
      </c>
      <c r="M127" s="16" t="s">
        <v>7633</v>
      </c>
      <c r="N127" s="16" t="s">
        <v>17</v>
      </c>
      <c r="O127" s="16" t="s">
        <v>6921</v>
      </c>
      <c r="P127" s="16" t="s">
        <v>17</v>
      </c>
      <c r="Q127" s="16" t="s">
        <v>6922</v>
      </c>
      <c r="R127" s="16" t="s">
        <v>6923</v>
      </c>
      <c r="S127" s="16" t="s">
        <v>17</v>
      </c>
      <c r="T127" s="16" t="s">
        <v>7263</v>
      </c>
      <c r="U127" s="16" t="s">
        <v>17</v>
      </c>
      <c r="V127" s="16" t="s">
        <v>6949</v>
      </c>
      <c r="W127" s="16" t="s">
        <v>17</v>
      </c>
      <c r="X127" s="16" t="s">
        <v>7633</v>
      </c>
      <c r="Y127" s="16" t="s">
        <v>17</v>
      </c>
      <c r="Z127" s="16" t="s">
        <v>6926</v>
      </c>
    </row>
    <row r="128" spans="1:26" x14ac:dyDescent="0.3">
      <c r="A128" s="16">
        <v>127</v>
      </c>
      <c r="B128" s="16" t="s">
        <v>7520</v>
      </c>
      <c r="C128" s="17">
        <v>9780071700269</v>
      </c>
      <c r="D128" s="17">
        <v>9780071700269</v>
      </c>
      <c r="E128" s="16" t="s">
        <v>7521</v>
      </c>
      <c r="F128" s="16" t="s">
        <v>17</v>
      </c>
      <c r="G128" s="16" t="s">
        <v>17</v>
      </c>
      <c r="H128" s="16" t="s">
        <v>17</v>
      </c>
      <c r="I128" s="16" t="s">
        <v>17</v>
      </c>
      <c r="J128" s="16" t="s">
        <v>17</v>
      </c>
      <c r="K128" s="16" t="s">
        <v>521</v>
      </c>
      <c r="L128" s="16" t="s">
        <v>520</v>
      </c>
      <c r="M128" s="16" t="s">
        <v>7520</v>
      </c>
      <c r="N128" s="16" t="s">
        <v>17</v>
      </c>
      <c r="O128" s="16" t="s">
        <v>6921</v>
      </c>
      <c r="P128" s="16" t="s">
        <v>17</v>
      </c>
      <c r="Q128" s="16" t="s">
        <v>6922</v>
      </c>
      <c r="R128" s="16" t="s">
        <v>6923</v>
      </c>
      <c r="S128" s="16" t="s">
        <v>17</v>
      </c>
      <c r="T128" s="16" t="s">
        <v>7521</v>
      </c>
      <c r="U128" s="16" t="s">
        <v>17</v>
      </c>
      <c r="V128" s="16" t="s">
        <v>6929</v>
      </c>
      <c r="W128" s="16" t="s">
        <v>17</v>
      </c>
      <c r="X128" s="16" t="s">
        <v>7520</v>
      </c>
      <c r="Y128" s="16" t="s">
        <v>17</v>
      </c>
      <c r="Z128" s="16" t="s">
        <v>6926</v>
      </c>
    </row>
    <row r="129" spans="1:26" x14ac:dyDescent="0.3">
      <c r="A129" s="16">
        <v>128</v>
      </c>
      <c r="B129" s="16" t="s">
        <v>7387</v>
      </c>
      <c r="C129" s="17">
        <v>9780071800020</v>
      </c>
      <c r="D129" s="17">
        <v>9780071800020</v>
      </c>
      <c r="E129" s="16" t="s">
        <v>7388</v>
      </c>
      <c r="F129" s="16" t="s">
        <v>17</v>
      </c>
      <c r="G129" s="16" t="s">
        <v>17</v>
      </c>
      <c r="H129" s="16" t="s">
        <v>17</v>
      </c>
      <c r="I129" s="16" t="s">
        <v>17</v>
      </c>
      <c r="J129" s="16" t="s">
        <v>17</v>
      </c>
      <c r="K129" s="16" t="s">
        <v>406</v>
      </c>
      <c r="L129" s="16" t="s">
        <v>7389</v>
      </c>
      <c r="M129" s="16" t="s">
        <v>7387</v>
      </c>
      <c r="N129" s="16" t="s">
        <v>17</v>
      </c>
      <c r="O129" s="16" t="s">
        <v>6921</v>
      </c>
      <c r="P129" s="16" t="s">
        <v>17</v>
      </c>
      <c r="Q129" s="16" t="s">
        <v>6922</v>
      </c>
      <c r="R129" s="16" t="s">
        <v>6923</v>
      </c>
      <c r="S129" s="16" t="s">
        <v>17</v>
      </c>
      <c r="T129" s="16" t="s">
        <v>7388</v>
      </c>
      <c r="U129" s="16" t="s">
        <v>17</v>
      </c>
      <c r="V129" s="16" t="s">
        <v>6929</v>
      </c>
      <c r="W129" s="16" t="s">
        <v>17</v>
      </c>
      <c r="X129" s="16" t="s">
        <v>7387</v>
      </c>
      <c r="Y129" s="16" t="s">
        <v>17</v>
      </c>
      <c r="Z129" s="16" t="s">
        <v>6926</v>
      </c>
    </row>
    <row r="130" spans="1:26" x14ac:dyDescent="0.3">
      <c r="A130" s="16">
        <v>129</v>
      </c>
      <c r="B130" s="16" t="s">
        <v>1547</v>
      </c>
      <c r="C130" s="17">
        <v>9780071399197</v>
      </c>
      <c r="D130" s="17">
        <v>9780071399197</v>
      </c>
      <c r="E130" s="16" t="s">
        <v>6920</v>
      </c>
      <c r="F130" s="16" t="s">
        <v>17</v>
      </c>
      <c r="G130" s="16" t="s">
        <v>17</v>
      </c>
      <c r="H130" s="16" t="s">
        <v>17</v>
      </c>
      <c r="I130" s="16" t="s">
        <v>17</v>
      </c>
      <c r="J130" s="16" t="s">
        <v>17</v>
      </c>
      <c r="K130" s="16" t="s">
        <v>1549</v>
      </c>
      <c r="L130" s="16" t="s">
        <v>1548</v>
      </c>
      <c r="M130" s="16" t="s">
        <v>1547</v>
      </c>
      <c r="N130" s="16" t="s">
        <v>17</v>
      </c>
      <c r="O130" s="16" t="s">
        <v>6921</v>
      </c>
      <c r="P130" s="16" t="s">
        <v>17</v>
      </c>
      <c r="Q130" s="16" t="s">
        <v>6922</v>
      </c>
      <c r="R130" s="16" t="s">
        <v>6923</v>
      </c>
      <c r="S130" s="16" t="s">
        <v>17</v>
      </c>
      <c r="T130" s="16" t="s">
        <v>6920</v>
      </c>
      <c r="U130" s="16" t="s">
        <v>17</v>
      </c>
      <c r="V130" s="16" t="s">
        <v>7049</v>
      </c>
      <c r="W130" s="16" t="s">
        <v>17</v>
      </c>
      <c r="X130" s="16" t="s">
        <v>1547</v>
      </c>
      <c r="Y130" s="16" t="s">
        <v>17</v>
      </c>
      <c r="Z130" s="16" t="s">
        <v>6926</v>
      </c>
    </row>
    <row r="131" spans="1:26" x14ac:dyDescent="0.3">
      <c r="A131" s="16">
        <v>130</v>
      </c>
      <c r="B131" s="16" t="s">
        <v>8450</v>
      </c>
      <c r="C131" s="17">
        <v>9781264269945</v>
      </c>
      <c r="D131" s="17">
        <v>9781264269945</v>
      </c>
      <c r="E131" s="16" t="s">
        <v>8451</v>
      </c>
      <c r="F131" s="16" t="s">
        <v>17</v>
      </c>
      <c r="G131" s="16" t="s">
        <v>17</v>
      </c>
      <c r="H131" s="16" t="s">
        <v>17</v>
      </c>
      <c r="I131" s="16" t="s">
        <v>17</v>
      </c>
      <c r="J131" s="16" t="s">
        <v>17</v>
      </c>
      <c r="K131" s="16" t="s">
        <v>1629</v>
      </c>
      <c r="L131" s="16" t="s">
        <v>1628</v>
      </c>
      <c r="M131" s="16" t="s">
        <v>8450</v>
      </c>
      <c r="N131" s="16" t="s">
        <v>17</v>
      </c>
      <c r="O131" s="16" t="s">
        <v>6921</v>
      </c>
      <c r="P131" s="16" t="s">
        <v>17</v>
      </c>
      <c r="Q131" s="16" t="s">
        <v>6922</v>
      </c>
      <c r="R131" s="16" t="s">
        <v>6923</v>
      </c>
      <c r="S131" s="16" t="s">
        <v>17</v>
      </c>
      <c r="T131" s="16" t="s">
        <v>8451</v>
      </c>
      <c r="U131" s="16" t="s">
        <v>17</v>
      </c>
      <c r="V131" s="16" t="s">
        <v>6944</v>
      </c>
      <c r="W131" s="16" t="s">
        <v>17</v>
      </c>
      <c r="X131" s="16" t="s">
        <v>8450</v>
      </c>
      <c r="Y131" s="16" t="s">
        <v>17</v>
      </c>
      <c r="Z131" s="16" t="s">
        <v>6926</v>
      </c>
    </row>
    <row r="132" spans="1:26" x14ac:dyDescent="0.3">
      <c r="A132" s="16">
        <v>131</v>
      </c>
      <c r="B132" s="16" t="s">
        <v>8357</v>
      </c>
      <c r="C132" s="17">
        <v>9780071596978</v>
      </c>
      <c r="D132" s="17">
        <v>9780071596978</v>
      </c>
      <c r="E132" s="16" t="s">
        <v>6920</v>
      </c>
      <c r="F132" s="16" t="s">
        <v>17</v>
      </c>
      <c r="G132" s="16" t="s">
        <v>17</v>
      </c>
      <c r="H132" s="16" t="s">
        <v>17</v>
      </c>
      <c r="I132" s="16" t="s">
        <v>17</v>
      </c>
      <c r="J132" s="16" t="s">
        <v>17</v>
      </c>
      <c r="K132" s="16" t="s">
        <v>1479</v>
      </c>
      <c r="L132" s="16" t="s">
        <v>8358</v>
      </c>
      <c r="M132" s="16" t="s">
        <v>8357</v>
      </c>
      <c r="N132" s="16" t="s">
        <v>17</v>
      </c>
      <c r="O132" s="16" t="s">
        <v>6921</v>
      </c>
      <c r="P132" s="16" t="s">
        <v>17</v>
      </c>
      <c r="Q132" s="16" t="s">
        <v>6922</v>
      </c>
      <c r="R132" s="16" t="s">
        <v>6923</v>
      </c>
      <c r="S132" s="16" t="s">
        <v>17</v>
      </c>
      <c r="T132" s="16" t="s">
        <v>6920</v>
      </c>
      <c r="U132" s="16" t="s">
        <v>17</v>
      </c>
      <c r="V132" s="16" t="s">
        <v>6929</v>
      </c>
      <c r="W132" s="16" t="s">
        <v>17</v>
      </c>
      <c r="X132" s="16" t="s">
        <v>8357</v>
      </c>
      <c r="Y132" s="16" t="s">
        <v>17</v>
      </c>
      <c r="Z132" s="16" t="s">
        <v>6926</v>
      </c>
    </row>
    <row r="133" spans="1:26" x14ac:dyDescent="0.3">
      <c r="A133" s="16">
        <v>132</v>
      </c>
      <c r="B133" s="16" t="s">
        <v>7966</v>
      </c>
      <c r="C133" s="17">
        <v>9780071836777</v>
      </c>
      <c r="D133" s="17">
        <v>9780071836777</v>
      </c>
      <c r="E133" s="16" t="s">
        <v>6953</v>
      </c>
      <c r="F133" s="16" t="s">
        <v>17</v>
      </c>
      <c r="G133" s="16" t="s">
        <v>17</v>
      </c>
      <c r="H133" s="16" t="s">
        <v>17</v>
      </c>
      <c r="I133" s="16" t="s">
        <v>17</v>
      </c>
      <c r="J133" s="16" t="s">
        <v>17</v>
      </c>
      <c r="K133" s="16" t="s">
        <v>1001</v>
      </c>
      <c r="L133" s="16" t="s">
        <v>1000</v>
      </c>
      <c r="M133" s="16" t="s">
        <v>7966</v>
      </c>
      <c r="N133" s="16" t="s">
        <v>17</v>
      </c>
      <c r="O133" s="16" t="s">
        <v>6921</v>
      </c>
      <c r="P133" s="16" t="s">
        <v>17</v>
      </c>
      <c r="Q133" s="16" t="s">
        <v>6922</v>
      </c>
      <c r="R133" s="16" t="s">
        <v>6923</v>
      </c>
      <c r="S133" s="16" t="s">
        <v>17</v>
      </c>
      <c r="T133" s="16" t="s">
        <v>6953</v>
      </c>
      <c r="U133" s="16" t="s">
        <v>17</v>
      </c>
      <c r="V133" s="16" t="s">
        <v>6929</v>
      </c>
      <c r="W133" s="16" t="s">
        <v>17</v>
      </c>
      <c r="X133" s="16" t="s">
        <v>7966</v>
      </c>
      <c r="Y133" s="16" t="s">
        <v>17</v>
      </c>
      <c r="Z133" s="16" t="s">
        <v>6926</v>
      </c>
    </row>
    <row r="134" spans="1:26" x14ac:dyDescent="0.3">
      <c r="A134" s="16">
        <v>133</v>
      </c>
      <c r="B134" s="16" t="s">
        <v>7132</v>
      </c>
      <c r="C134" s="17">
        <v>9780071831314</v>
      </c>
      <c r="D134" s="17">
        <v>9780071831314</v>
      </c>
      <c r="E134" s="16" t="s">
        <v>7133</v>
      </c>
      <c r="F134" s="16" t="s">
        <v>17</v>
      </c>
      <c r="G134" s="16" t="s">
        <v>17</v>
      </c>
      <c r="H134" s="16" t="s">
        <v>17</v>
      </c>
      <c r="I134" s="16" t="s">
        <v>17</v>
      </c>
      <c r="J134" s="16" t="s">
        <v>17</v>
      </c>
      <c r="K134" s="16" t="s">
        <v>192</v>
      </c>
      <c r="L134" s="16" t="s">
        <v>190</v>
      </c>
      <c r="M134" s="16" t="s">
        <v>7132</v>
      </c>
      <c r="N134" s="16" t="s">
        <v>17</v>
      </c>
      <c r="O134" s="16" t="s">
        <v>6921</v>
      </c>
      <c r="P134" s="16" t="s">
        <v>17</v>
      </c>
      <c r="Q134" s="16" t="s">
        <v>6922</v>
      </c>
      <c r="R134" s="16" t="s">
        <v>6923</v>
      </c>
      <c r="S134" s="16" t="s">
        <v>17</v>
      </c>
      <c r="T134" s="16" t="s">
        <v>7133</v>
      </c>
      <c r="U134" s="16" t="s">
        <v>17</v>
      </c>
      <c r="V134" s="16" t="s">
        <v>6929</v>
      </c>
      <c r="W134" s="16" t="s">
        <v>17</v>
      </c>
      <c r="X134" s="16" t="s">
        <v>7132</v>
      </c>
      <c r="Y134" s="16" t="s">
        <v>17</v>
      </c>
      <c r="Z134" s="16" t="s">
        <v>6926</v>
      </c>
    </row>
    <row r="135" spans="1:26" x14ac:dyDescent="0.3">
      <c r="A135" s="16">
        <v>134</v>
      </c>
      <c r="B135" s="16" t="s">
        <v>7622</v>
      </c>
      <c r="C135" s="17">
        <v>9780071374330</v>
      </c>
      <c r="D135" s="17">
        <v>9780071374330</v>
      </c>
      <c r="E135" s="16" t="s">
        <v>7623</v>
      </c>
      <c r="F135" s="16" t="s">
        <v>17</v>
      </c>
      <c r="G135" s="16" t="s">
        <v>17</v>
      </c>
      <c r="H135" s="16" t="s">
        <v>17</v>
      </c>
      <c r="I135" s="16" t="s">
        <v>17</v>
      </c>
      <c r="J135" s="16" t="s">
        <v>17</v>
      </c>
      <c r="K135" s="16" t="s">
        <v>614</v>
      </c>
      <c r="L135" s="16" t="s">
        <v>7624</v>
      </c>
      <c r="M135" s="16" t="s">
        <v>7622</v>
      </c>
      <c r="N135" s="16" t="s">
        <v>17</v>
      </c>
      <c r="O135" s="16" t="s">
        <v>6921</v>
      </c>
      <c r="P135" s="16" t="s">
        <v>17</v>
      </c>
      <c r="Q135" s="16" t="s">
        <v>6922</v>
      </c>
      <c r="R135" s="16" t="s">
        <v>6923</v>
      </c>
      <c r="S135" s="16" t="s">
        <v>17</v>
      </c>
      <c r="T135" s="16" t="s">
        <v>7623</v>
      </c>
      <c r="U135" s="16" t="s">
        <v>17</v>
      </c>
      <c r="V135" s="16" t="s">
        <v>6929</v>
      </c>
      <c r="W135" s="16" t="s">
        <v>17</v>
      </c>
      <c r="X135" s="16" t="s">
        <v>7622</v>
      </c>
      <c r="Y135" s="16" t="s">
        <v>17</v>
      </c>
      <c r="Z135" s="16" t="s">
        <v>6926</v>
      </c>
    </row>
    <row r="136" spans="1:26" x14ac:dyDescent="0.3">
      <c r="A136" s="16">
        <v>135</v>
      </c>
      <c r="B136" s="16" t="s">
        <v>7160</v>
      </c>
      <c r="C136" s="17">
        <v>9780070734012</v>
      </c>
      <c r="D136" s="17">
        <v>9780070734012</v>
      </c>
      <c r="E136" s="16" t="s">
        <v>7063</v>
      </c>
      <c r="F136" s="16" t="s">
        <v>17</v>
      </c>
      <c r="G136" s="16" t="s">
        <v>17</v>
      </c>
      <c r="H136" s="16" t="s">
        <v>17</v>
      </c>
      <c r="I136" s="16" t="s">
        <v>17</v>
      </c>
      <c r="J136" s="16" t="s">
        <v>17</v>
      </c>
      <c r="K136" s="16" t="s">
        <v>211</v>
      </c>
      <c r="L136" s="16" t="s">
        <v>17</v>
      </c>
      <c r="M136" s="16" t="s">
        <v>7160</v>
      </c>
      <c r="N136" s="16" t="s">
        <v>17</v>
      </c>
      <c r="O136" s="16" t="s">
        <v>6921</v>
      </c>
      <c r="P136" s="16" t="s">
        <v>17</v>
      </c>
      <c r="Q136" s="16" t="s">
        <v>6922</v>
      </c>
      <c r="R136" s="16" t="s">
        <v>6923</v>
      </c>
      <c r="S136" s="16" t="s">
        <v>17</v>
      </c>
      <c r="T136" s="16" t="s">
        <v>7063</v>
      </c>
      <c r="U136" s="16" t="s">
        <v>17</v>
      </c>
      <c r="V136" s="16" t="s">
        <v>6929</v>
      </c>
      <c r="W136" s="16" t="s">
        <v>7161</v>
      </c>
      <c r="X136" s="16" t="s">
        <v>7160</v>
      </c>
      <c r="Y136" s="16" t="s">
        <v>17</v>
      </c>
      <c r="Z136" s="16" t="s">
        <v>6926</v>
      </c>
    </row>
    <row r="137" spans="1:26" x14ac:dyDescent="0.3">
      <c r="A137" s="16">
        <v>136</v>
      </c>
      <c r="B137" s="16" t="s">
        <v>7792</v>
      </c>
      <c r="C137" s="17">
        <v>9780071745925</v>
      </c>
      <c r="D137" s="17">
        <v>9780071745925</v>
      </c>
      <c r="E137" s="16" t="s">
        <v>7275</v>
      </c>
      <c r="F137" s="16" t="s">
        <v>17</v>
      </c>
      <c r="G137" s="16" t="s">
        <v>17</v>
      </c>
      <c r="H137" s="16" t="s">
        <v>17</v>
      </c>
      <c r="I137" s="16" t="s">
        <v>17</v>
      </c>
      <c r="J137" s="16" t="s">
        <v>17</v>
      </c>
      <c r="K137" s="16" t="s">
        <v>768</v>
      </c>
      <c r="L137" s="16" t="s">
        <v>7793</v>
      </c>
      <c r="M137" s="16" t="s">
        <v>7792</v>
      </c>
      <c r="N137" s="16" t="s">
        <v>17</v>
      </c>
      <c r="O137" s="16" t="s">
        <v>6921</v>
      </c>
      <c r="P137" s="16" t="s">
        <v>17</v>
      </c>
      <c r="Q137" s="16" t="s">
        <v>6922</v>
      </c>
      <c r="R137" s="16" t="s">
        <v>6923</v>
      </c>
      <c r="S137" s="16" t="s">
        <v>17</v>
      </c>
      <c r="T137" s="16" t="s">
        <v>7275</v>
      </c>
      <c r="U137" s="16" t="s">
        <v>17</v>
      </c>
      <c r="V137" s="16" t="s">
        <v>6944</v>
      </c>
      <c r="W137" s="16" t="s">
        <v>17</v>
      </c>
      <c r="X137" s="16" t="s">
        <v>7792</v>
      </c>
      <c r="Y137" s="16" t="s">
        <v>17</v>
      </c>
      <c r="Z137" s="16" t="s">
        <v>6926</v>
      </c>
    </row>
    <row r="138" spans="1:26" x14ac:dyDescent="0.3">
      <c r="A138" s="16">
        <v>137</v>
      </c>
      <c r="B138" s="16" t="s">
        <v>982</v>
      </c>
      <c r="C138" s="17">
        <v>9780071787727</v>
      </c>
      <c r="D138" s="17">
        <v>9780071787727</v>
      </c>
      <c r="E138" s="16" t="s">
        <v>7953</v>
      </c>
      <c r="F138" s="16" t="s">
        <v>17</v>
      </c>
      <c r="G138" s="16" t="s">
        <v>17</v>
      </c>
      <c r="H138" s="16" t="s">
        <v>17</v>
      </c>
      <c r="I138" s="16" t="s">
        <v>17</v>
      </c>
      <c r="J138" s="16" t="s">
        <v>17</v>
      </c>
      <c r="K138" s="16" t="s">
        <v>984</v>
      </c>
      <c r="L138" s="16" t="s">
        <v>983</v>
      </c>
      <c r="M138" s="16" t="s">
        <v>982</v>
      </c>
      <c r="N138" s="16" t="s">
        <v>17</v>
      </c>
      <c r="O138" s="16" t="s">
        <v>6921</v>
      </c>
      <c r="P138" s="16" t="s">
        <v>17</v>
      </c>
      <c r="Q138" s="16" t="s">
        <v>6922</v>
      </c>
      <c r="R138" s="16" t="s">
        <v>6923</v>
      </c>
      <c r="S138" s="16" t="s">
        <v>17</v>
      </c>
      <c r="T138" s="16" t="s">
        <v>7953</v>
      </c>
      <c r="U138" s="16" t="s">
        <v>17</v>
      </c>
      <c r="V138" s="16" t="s">
        <v>7183</v>
      </c>
      <c r="W138" s="16" t="s">
        <v>17</v>
      </c>
      <c r="X138" s="16" t="s">
        <v>982</v>
      </c>
      <c r="Y138" s="16" t="s">
        <v>17</v>
      </c>
      <c r="Z138" s="16" t="s">
        <v>6926</v>
      </c>
    </row>
    <row r="139" spans="1:26" x14ac:dyDescent="0.3">
      <c r="A139" s="16">
        <v>138</v>
      </c>
      <c r="B139" s="16" t="s">
        <v>1581</v>
      </c>
      <c r="C139" s="17">
        <v>9780071821957</v>
      </c>
      <c r="D139" s="17">
        <v>9780071821957</v>
      </c>
      <c r="E139" s="16" t="s">
        <v>6953</v>
      </c>
      <c r="F139" s="16" t="s">
        <v>17</v>
      </c>
      <c r="G139" s="16" t="s">
        <v>17</v>
      </c>
      <c r="H139" s="16" t="s">
        <v>17</v>
      </c>
      <c r="I139" s="16" t="s">
        <v>17</v>
      </c>
      <c r="J139" s="16" t="s">
        <v>17</v>
      </c>
      <c r="K139" s="16" t="s">
        <v>1583</v>
      </c>
      <c r="L139" s="16" t="s">
        <v>1582</v>
      </c>
      <c r="M139" s="16" t="s">
        <v>1581</v>
      </c>
      <c r="N139" s="16" t="s">
        <v>17</v>
      </c>
      <c r="O139" s="16" t="s">
        <v>6921</v>
      </c>
      <c r="P139" s="16" t="s">
        <v>17</v>
      </c>
      <c r="Q139" s="16" t="s">
        <v>6922</v>
      </c>
      <c r="R139" s="16" t="s">
        <v>6923</v>
      </c>
      <c r="S139" s="16" t="s">
        <v>17</v>
      </c>
      <c r="T139" s="16" t="s">
        <v>6953</v>
      </c>
      <c r="U139" s="16" t="s">
        <v>17</v>
      </c>
      <c r="V139" s="16" t="s">
        <v>7826</v>
      </c>
      <c r="W139" s="16" t="s">
        <v>17</v>
      </c>
      <c r="X139" s="16" t="s">
        <v>1581</v>
      </c>
      <c r="Y139" s="16" t="s">
        <v>17</v>
      </c>
      <c r="Z139" s="16" t="s">
        <v>6926</v>
      </c>
    </row>
    <row r="140" spans="1:26" x14ac:dyDescent="0.3">
      <c r="A140" s="16">
        <v>139</v>
      </c>
      <c r="B140" s="16" t="s">
        <v>7497</v>
      </c>
      <c r="C140" s="17">
        <v>9780071614696</v>
      </c>
      <c r="D140" s="17">
        <v>9780071614696</v>
      </c>
      <c r="E140" s="16" t="s">
        <v>6920</v>
      </c>
      <c r="F140" s="16" t="s">
        <v>17</v>
      </c>
      <c r="G140" s="16" t="s">
        <v>17</v>
      </c>
      <c r="H140" s="16" t="s">
        <v>17</v>
      </c>
      <c r="I140" s="16" t="s">
        <v>17</v>
      </c>
      <c r="J140" s="16" t="s">
        <v>17</v>
      </c>
      <c r="K140" s="16" t="s">
        <v>507</v>
      </c>
      <c r="L140" s="16" t="s">
        <v>7498</v>
      </c>
      <c r="M140" s="16" t="s">
        <v>7497</v>
      </c>
      <c r="N140" s="16" t="s">
        <v>17</v>
      </c>
      <c r="O140" s="16" t="s">
        <v>6921</v>
      </c>
      <c r="P140" s="16" t="s">
        <v>17</v>
      </c>
      <c r="Q140" s="16" t="s">
        <v>6922</v>
      </c>
      <c r="R140" s="16" t="s">
        <v>6923</v>
      </c>
      <c r="S140" s="16" t="s">
        <v>17</v>
      </c>
      <c r="T140" s="16" t="s">
        <v>6920</v>
      </c>
      <c r="U140" s="16" t="s">
        <v>17</v>
      </c>
      <c r="V140" s="16" t="s">
        <v>6924</v>
      </c>
      <c r="W140" s="16" t="s">
        <v>17</v>
      </c>
      <c r="X140" s="16" t="s">
        <v>7497</v>
      </c>
      <c r="Y140" s="16" t="s">
        <v>17</v>
      </c>
      <c r="Z140" s="16" t="s">
        <v>6926</v>
      </c>
    </row>
    <row r="141" spans="1:26" x14ac:dyDescent="0.3">
      <c r="A141" s="16">
        <v>140</v>
      </c>
      <c r="B141" s="16" t="s">
        <v>8422</v>
      </c>
      <c r="C141" s="17">
        <v>9781265631055</v>
      </c>
      <c r="D141" s="17">
        <v>9781265631055</v>
      </c>
      <c r="E141" s="16" t="s">
        <v>8423</v>
      </c>
      <c r="F141" s="16" t="s">
        <v>17</v>
      </c>
      <c r="G141" s="16" t="s">
        <v>17</v>
      </c>
      <c r="H141" s="16" t="s">
        <v>17</v>
      </c>
      <c r="I141" s="16" t="s">
        <v>17</v>
      </c>
      <c r="J141" s="16" t="s">
        <v>17</v>
      </c>
      <c r="K141" s="16" t="s">
        <v>1612</v>
      </c>
      <c r="L141" s="16" t="s">
        <v>525</v>
      </c>
      <c r="M141" s="16" t="s">
        <v>8422</v>
      </c>
      <c r="N141" s="16" t="s">
        <v>17</v>
      </c>
      <c r="O141" s="16" t="s">
        <v>6921</v>
      </c>
      <c r="P141" s="16" t="s">
        <v>17</v>
      </c>
      <c r="Q141" s="16" t="s">
        <v>6922</v>
      </c>
      <c r="R141" s="16" t="s">
        <v>6923</v>
      </c>
      <c r="S141" s="16" t="s">
        <v>17</v>
      </c>
      <c r="T141" s="16" t="s">
        <v>8423</v>
      </c>
      <c r="U141" s="16" t="s">
        <v>17</v>
      </c>
      <c r="V141" s="16" t="s">
        <v>8424</v>
      </c>
      <c r="W141" s="16" t="s">
        <v>17</v>
      </c>
      <c r="X141" s="16" t="s">
        <v>8422</v>
      </c>
      <c r="Y141" s="16" t="s">
        <v>17</v>
      </c>
      <c r="Z141" s="16" t="s">
        <v>6926</v>
      </c>
    </row>
    <row r="142" spans="1:26" x14ac:dyDescent="0.3">
      <c r="A142" s="16">
        <v>141</v>
      </c>
      <c r="B142" s="16" t="s">
        <v>8084</v>
      </c>
      <c r="C142" s="17">
        <v>9781260457223</v>
      </c>
      <c r="D142" s="17">
        <v>9781260457223</v>
      </c>
      <c r="E142" s="16" t="s">
        <v>8085</v>
      </c>
      <c r="F142" s="16" t="s">
        <v>17</v>
      </c>
      <c r="G142" s="16" t="s">
        <v>17</v>
      </c>
      <c r="H142" s="16" t="s">
        <v>17</v>
      </c>
      <c r="I142" s="16" t="s">
        <v>17</v>
      </c>
      <c r="J142" s="16" t="s">
        <v>17</v>
      </c>
      <c r="K142" s="16" t="s">
        <v>1173</v>
      </c>
      <c r="L142" s="16" t="s">
        <v>525</v>
      </c>
      <c r="M142" s="16" t="s">
        <v>8084</v>
      </c>
      <c r="N142" s="16" t="s">
        <v>17</v>
      </c>
      <c r="O142" s="16" t="s">
        <v>6921</v>
      </c>
      <c r="P142" s="16" t="s">
        <v>17</v>
      </c>
      <c r="Q142" s="16" t="s">
        <v>6922</v>
      </c>
      <c r="R142" s="16" t="s">
        <v>6923</v>
      </c>
      <c r="S142" s="16" t="s">
        <v>17</v>
      </c>
      <c r="T142" s="16" t="s">
        <v>8085</v>
      </c>
      <c r="U142" s="16" t="s">
        <v>17</v>
      </c>
      <c r="V142" s="16" t="s">
        <v>7024</v>
      </c>
      <c r="W142" s="16" t="s">
        <v>17</v>
      </c>
      <c r="X142" s="16" t="s">
        <v>8084</v>
      </c>
      <c r="Y142" s="16" t="s">
        <v>17</v>
      </c>
      <c r="Z142" s="16" t="s">
        <v>6926</v>
      </c>
    </row>
    <row r="143" spans="1:26" x14ac:dyDescent="0.3">
      <c r="A143" s="16">
        <v>142</v>
      </c>
      <c r="B143" s="16" t="s">
        <v>7282</v>
      </c>
      <c r="C143" s="17">
        <v>9780071777117</v>
      </c>
      <c r="D143" s="17">
        <v>9780071777117</v>
      </c>
      <c r="E143" s="16" t="s">
        <v>7283</v>
      </c>
      <c r="F143" s="16" t="s">
        <v>17</v>
      </c>
      <c r="G143" s="16" t="s">
        <v>17</v>
      </c>
      <c r="H143" s="16" t="s">
        <v>17</v>
      </c>
      <c r="I143" s="16" t="s">
        <v>17</v>
      </c>
      <c r="J143" s="16" t="s">
        <v>17</v>
      </c>
      <c r="K143" s="16" t="s">
        <v>308</v>
      </c>
      <c r="L143" s="16" t="s">
        <v>7284</v>
      </c>
      <c r="M143" s="16" t="s">
        <v>7282</v>
      </c>
      <c r="N143" s="16" t="s">
        <v>17</v>
      </c>
      <c r="O143" s="16" t="s">
        <v>6921</v>
      </c>
      <c r="P143" s="16" t="s">
        <v>17</v>
      </c>
      <c r="Q143" s="16" t="s">
        <v>6922</v>
      </c>
      <c r="R143" s="16" t="s">
        <v>6923</v>
      </c>
      <c r="S143" s="16" t="s">
        <v>17</v>
      </c>
      <c r="T143" s="16" t="s">
        <v>7283</v>
      </c>
      <c r="U143" s="16" t="s">
        <v>17</v>
      </c>
      <c r="V143" s="16" t="s">
        <v>6929</v>
      </c>
      <c r="W143" s="16" t="s">
        <v>17</v>
      </c>
      <c r="X143" s="16" t="s">
        <v>7282</v>
      </c>
      <c r="Y143" s="16" t="s">
        <v>17</v>
      </c>
      <c r="Z143" s="16" t="s">
        <v>6926</v>
      </c>
    </row>
    <row r="144" spans="1:26" x14ac:dyDescent="0.3">
      <c r="A144" s="16">
        <v>143</v>
      </c>
      <c r="B144" s="16" t="s">
        <v>7282</v>
      </c>
      <c r="C144" s="17">
        <v>9781260466928</v>
      </c>
      <c r="D144" s="17">
        <v>9781260466928</v>
      </c>
      <c r="E144" s="16" t="s">
        <v>7567</v>
      </c>
      <c r="F144" s="16" t="s">
        <v>17</v>
      </c>
      <c r="G144" s="16" t="s">
        <v>17</v>
      </c>
      <c r="H144" s="16" t="s">
        <v>17</v>
      </c>
      <c r="I144" s="16" t="s">
        <v>17</v>
      </c>
      <c r="J144" s="16" t="s">
        <v>17</v>
      </c>
      <c r="K144" s="16" t="s">
        <v>557</v>
      </c>
      <c r="L144" s="16" t="s">
        <v>7568</v>
      </c>
      <c r="M144" s="16" t="s">
        <v>7282</v>
      </c>
      <c r="N144" s="16" t="s">
        <v>17</v>
      </c>
      <c r="O144" s="16" t="s">
        <v>6921</v>
      </c>
      <c r="P144" s="16" t="s">
        <v>17</v>
      </c>
      <c r="Q144" s="16" t="s">
        <v>6922</v>
      </c>
      <c r="R144" s="16" t="s">
        <v>6923</v>
      </c>
      <c r="S144" s="16" t="s">
        <v>17</v>
      </c>
      <c r="T144" s="16" t="s">
        <v>7567</v>
      </c>
      <c r="U144" s="16" t="s">
        <v>17</v>
      </c>
      <c r="V144" s="16" t="s">
        <v>6924</v>
      </c>
      <c r="W144" s="16" t="s">
        <v>17</v>
      </c>
      <c r="X144" s="16" t="s">
        <v>7282</v>
      </c>
      <c r="Y144" s="16" t="s">
        <v>17</v>
      </c>
      <c r="Z144" s="16" t="s">
        <v>6926</v>
      </c>
    </row>
    <row r="145" spans="1:26" x14ac:dyDescent="0.3">
      <c r="A145" s="16">
        <v>144</v>
      </c>
      <c r="B145" s="16" t="s">
        <v>7999</v>
      </c>
      <c r="C145" s="17">
        <v>9780071812894</v>
      </c>
      <c r="D145" s="17">
        <v>9780071812894</v>
      </c>
      <c r="E145" s="16" t="s">
        <v>6987</v>
      </c>
      <c r="F145" s="16" t="s">
        <v>17</v>
      </c>
      <c r="G145" s="16" t="s">
        <v>17</v>
      </c>
      <c r="H145" s="16" t="s">
        <v>17</v>
      </c>
      <c r="I145" s="16" t="s">
        <v>17</v>
      </c>
      <c r="J145" s="16" t="s">
        <v>17</v>
      </c>
      <c r="K145" s="16" t="s">
        <v>1053</v>
      </c>
      <c r="L145" s="16" t="s">
        <v>1052</v>
      </c>
      <c r="M145" s="16" t="s">
        <v>7999</v>
      </c>
      <c r="N145" s="16" t="s">
        <v>17</v>
      </c>
      <c r="O145" s="16" t="s">
        <v>6921</v>
      </c>
      <c r="P145" s="16" t="s">
        <v>17</v>
      </c>
      <c r="Q145" s="16" t="s">
        <v>6922</v>
      </c>
      <c r="R145" s="16" t="s">
        <v>6923</v>
      </c>
      <c r="S145" s="16" t="s">
        <v>17</v>
      </c>
      <c r="T145" s="16" t="s">
        <v>6987</v>
      </c>
      <c r="U145" s="16" t="s">
        <v>17</v>
      </c>
      <c r="V145" s="16" t="s">
        <v>6929</v>
      </c>
      <c r="W145" s="16" t="s">
        <v>17</v>
      </c>
      <c r="X145" s="16" t="s">
        <v>7999</v>
      </c>
      <c r="Y145" s="16" t="s">
        <v>17</v>
      </c>
      <c r="Z145" s="16" t="s">
        <v>6926</v>
      </c>
    </row>
    <row r="146" spans="1:26" x14ac:dyDescent="0.3">
      <c r="A146" s="16">
        <v>145</v>
      </c>
      <c r="B146" s="16" t="s">
        <v>7877</v>
      </c>
      <c r="C146" s="17">
        <v>9780071755658</v>
      </c>
      <c r="D146" s="17">
        <v>9780071755658</v>
      </c>
      <c r="E146" s="16" t="s">
        <v>7734</v>
      </c>
      <c r="F146" s="16" t="s">
        <v>17</v>
      </c>
      <c r="G146" s="16" t="s">
        <v>17</v>
      </c>
      <c r="H146" s="16" t="s">
        <v>17</v>
      </c>
      <c r="I146" s="16" t="s">
        <v>17</v>
      </c>
      <c r="J146" s="16" t="s">
        <v>17</v>
      </c>
      <c r="K146" s="16" t="s">
        <v>876</v>
      </c>
      <c r="L146" s="16" t="s">
        <v>17</v>
      </c>
      <c r="M146" s="16" t="s">
        <v>7877</v>
      </c>
      <c r="N146" s="16" t="s">
        <v>17</v>
      </c>
      <c r="O146" s="16" t="s">
        <v>6921</v>
      </c>
      <c r="P146" s="16" t="s">
        <v>17</v>
      </c>
      <c r="Q146" s="16" t="s">
        <v>6922</v>
      </c>
      <c r="R146" s="16" t="s">
        <v>6923</v>
      </c>
      <c r="S146" s="16" t="s">
        <v>17</v>
      </c>
      <c r="T146" s="16" t="s">
        <v>7734</v>
      </c>
      <c r="U146" s="16" t="s">
        <v>17</v>
      </c>
      <c r="V146" s="16" t="s">
        <v>6929</v>
      </c>
      <c r="W146" s="16" t="s">
        <v>7878</v>
      </c>
      <c r="X146" s="16" t="s">
        <v>7877</v>
      </c>
      <c r="Y146" s="16" t="s">
        <v>17</v>
      </c>
      <c r="Z146" s="16" t="s">
        <v>6926</v>
      </c>
    </row>
    <row r="147" spans="1:26" x14ac:dyDescent="0.3">
      <c r="A147" s="16">
        <v>146</v>
      </c>
      <c r="B147" s="16" t="s">
        <v>8049</v>
      </c>
      <c r="C147" s="17">
        <v>9780071799485</v>
      </c>
      <c r="D147" s="17">
        <v>9780071799485</v>
      </c>
      <c r="E147" s="16" t="s">
        <v>8050</v>
      </c>
      <c r="F147" s="16" t="s">
        <v>17</v>
      </c>
      <c r="G147" s="16" t="s">
        <v>17</v>
      </c>
      <c r="H147" s="16" t="s">
        <v>17</v>
      </c>
      <c r="I147" s="16" t="s">
        <v>17</v>
      </c>
      <c r="J147" s="16" t="s">
        <v>17</v>
      </c>
      <c r="K147" s="16" t="s">
        <v>1126</v>
      </c>
      <c r="L147" s="16" t="s">
        <v>8051</v>
      </c>
      <c r="M147" s="16" t="s">
        <v>8049</v>
      </c>
      <c r="N147" s="16" t="s">
        <v>17</v>
      </c>
      <c r="O147" s="16" t="s">
        <v>6921</v>
      </c>
      <c r="P147" s="16" t="s">
        <v>17</v>
      </c>
      <c r="Q147" s="16" t="s">
        <v>6922</v>
      </c>
      <c r="R147" s="16" t="s">
        <v>6923</v>
      </c>
      <c r="S147" s="16" t="s">
        <v>17</v>
      </c>
      <c r="T147" s="16" t="s">
        <v>8050</v>
      </c>
      <c r="U147" s="16" t="s">
        <v>17</v>
      </c>
      <c r="V147" s="16" t="s">
        <v>6929</v>
      </c>
      <c r="W147" s="16" t="s">
        <v>17</v>
      </c>
      <c r="X147" s="16" t="s">
        <v>8049</v>
      </c>
      <c r="Y147" s="16" t="s">
        <v>17</v>
      </c>
      <c r="Z147" s="16" t="s">
        <v>6926</v>
      </c>
    </row>
    <row r="148" spans="1:26" x14ac:dyDescent="0.3">
      <c r="A148" s="16">
        <v>147</v>
      </c>
      <c r="B148" s="16" t="s">
        <v>7492</v>
      </c>
      <c r="C148" s="17">
        <v>9780071713320</v>
      </c>
      <c r="D148" s="17">
        <v>9780071713320</v>
      </c>
      <c r="E148" s="16" t="s">
        <v>6920</v>
      </c>
      <c r="F148" s="16" t="s">
        <v>17</v>
      </c>
      <c r="G148" s="16" t="s">
        <v>17</v>
      </c>
      <c r="H148" s="16" t="s">
        <v>17</v>
      </c>
      <c r="I148" s="16" t="s">
        <v>17</v>
      </c>
      <c r="J148" s="16" t="s">
        <v>17</v>
      </c>
      <c r="K148" s="16" t="s">
        <v>504</v>
      </c>
      <c r="L148" s="16" t="s">
        <v>7493</v>
      </c>
      <c r="M148" s="16" t="s">
        <v>7492</v>
      </c>
      <c r="N148" s="16" t="s">
        <v>17</v>
      </c>
      <c r="O148" s="16" t="s">
        <v>6921</v>
      </c>
      <c r="P148" s="16" t="s">
        <v>17</v>
      </c>
      <c r="Q148" s="16" t="s">
        <v>6922</v>
      </c>
      <c r="R148" s="16" t="s">
        <v>6923</v>
      </c>
      <c r="S148" s="16" t="s">
        <v>17</v>
      </c>
      <c r="T148" s="16" t="s">
        <v>6920</v>
      </c>
      <c r="U148" s="16" t="s">
        <v>17</v>
      </c>
      <c r="V148" s="16" t="s">
        <v>6929</v>
      </c>
      <c r="W148" s="16" t="s">
        <v>17</v>
      </c>
      <c r="X148" s="16" t="s">
        <v>7492</v>
      </c>
      <c r="Y148" s="16" t="s">
        <v>17</v>
      </c>
      <c r="Z148" s="16" t="s">
        <v>6926</v>
      </c>
    </row>
    <row r="149" spans="1:26" x14ac:dyDescent="0.3">
      <c r="A149" s="16">
        <v>148</v>
      </c>
      <c r="B149" s="16" t="s">
        <v>7440</v>
      </c>
      <c r="C149" s="17">
        <v>9781264573585</v>
      </c>
      <c r="D149" s="17">
        <v>9781264573585</v>
      </c>
      <c r="E149" s="16" t="s">
        <v>7401</v>
      </c>
      <c r="F149" s="16" t="s">
        <v>17</v>
      </c>
      <c r="G149" s="16" t="s">
        <v>17</v>
      </c>
      <c r="H149" s="16" t="s">
        <v>17</v>
      </c>
      <c r="I149" s="16" t="s">
        <v>17</v>
      </c>
      <c r="J149" s="16" t="s">
        <v>17</v>
      </c>
      <c r="K149" s="16" t="s">
        <v>450</v>
      </c>
      <c r="L149" s="16" t="s">
        <v>449</v>
      </c>
      <c r="M149" s="16" t="s">
        <v>7440</v>
      </c>
      <c r="N149" s="16" t="s">
        <v>17</v>
      </c>
      <c r="O149" s="16" t="s">
        <v>6921</v>
      </c>
      <c r="P149" s="16" t="s">
        <v>17</v>
      </c>
      <c r="Q149" s="16" t="s">
        <v>6922</v>
      </c>
      <c r="R149" s="16" t="s">
        <v>6923</v>
      </c>
      <c r="S149" s="16" t="s">
        <v>17</v>
      </c>
      <c r="T149" s="16" t="s">
        <v>7401</v>
      </c>
      <c r="U149" s="16" t="s">
        <v>17</v>
      </c>
      <c r="V149" s="16" t="s">
        <v>6929</v>
      </c>
      <c r="W149" s="16" t="s">
        <v>17</v>
      </c>
      <c r="X149" s="16" t="s">
        <v>7440</v>
      </c>
      <c r="Y149" s="16" t="s">
        <v>17</v>
      </c>
      <c r="Z149" s="16" t="s">
        <v>6926</v>
      </c>
    </row>
    <row r="150" spans="1:26" x14ac:dyDescent="0.3">
      <c r="A150" s="16">
        <v>149</v>
      </c>
      <c r="B150" s="16" t="s">
        <v>7692</v>
      </c>
      <c r="C150" s="17">
        <v>9781264278701</v>
      </c>
      <c r="D150" s="17">
        <v>9781264278701</v>
      </c>
      <c r="E150" s="16" t="s">
        <v>7693</v>
      </c>
      <c r="F150" s="16" t="s">
        <v>17</v>
      </c>
      <c r="G150" s="16" t="s">
        <v>17</v>
      </c>
      <c r="H150" s="16" t="s">
        <v>17</v>
      </c>
      <c r="I150" s="16" t="s">
        <v>17</v>
      </c>
      <c r="J150" s="16" t="s">
        <v>17</v>
      </c>
      <c r="K150" s="16" t="s">
        <v>683</v>
      </c>
      <c r="L150" s="16" t="s">
        <v>682</v>
      </c>
      <c r="M150" s="16" t="s">
        <v>7692</v>
      </c>
      <c r="N150" s="16" t="s">
        <v>17</v>
      </c>
      <c r="O150" s="16" t="s">
        <v>6921</v>
      </c>
      <c r="P150" s="16" t="s">
        <v>17</v>
      </c>
      <c r="Q150" s="16" t="s">
        <v>6922</v>
      </c>
      <c r="R150" s="16" t="s">
        <v>6923</v>
      </c>
      <c r="S150" s="16" t="s">
        <v>17</v>
      </c>
      <c r="T150" s="16" t="s">
        <v>7693</v>
      </c>
      <c r="U150" s="16" t="s">
        <v>17</v>
      </c>
      <c r="V150" s="16" t="s">
        <v>7145</v>
      </c>
      <c r="W150" s="16" t="s">
        <v>17</v>
      </c>
      <c r="X150" s="16" t="s">
        <v>7692</v>
      </c>
      <c r="Y150" s="16" t="s">
        <v>17</v>
      </c>
      <c r="Z150" s="16" t="s">
        <v>6926</v>
      </c>
    </row>
    <row r="151" spans="1:26" x14ac:dyDescent="0.3">
      <c r="A151" s="16">
        <v>150</v>
      </c>
      <c r="B151" s="16" t="s">
        <v>7692</v>
      </c>
      <c r="C151" s="17">
        <v>9781259641824</v>
      </c>
      <c r="D151" s="17">
        <v>9781259641824</v>
      </c>
      <c r="E151" s="16" t="s">
        <v>7863</v>
      </c>
      <c r="F151" s="16" t="s">
        <v>17</v>
      </c>
      <c r="G151" s="16" t="s">
        <v>17</v>
      </c>
      <c r="H151" s="16" t="s">
        <v>17</v>
      </c>
      <c r="I151" s="16" t="s">
        <v>17</v>
      </c>
      <c r="J151" s="16" t="s">
        <v>17</v>
      </c>
      <c r="K151" s="16" t="s">
        <v>1071</v>
      </c>
      <c r="L151" s="16" t="s">
        <v>8011</v>
      </c>
      <c r="M151" s="16" t="s">
        <v>7692</v>
      </c>
      <c r="N151" s="16" t="s">
        <v>17</v>
      </c>
      <c r="O151" s="16" t="s">
        <v>6921</v>
      </c>
      <c r="P151" s="16" t="s">
        <v>17</v>
      </c>
      <c r="Q151" s="16" t="s">
        <v>6922</v>
      </c>
      <c r="R151" s="16" t="s">
        <v>6923</v>
      </c>
      <c r="S151" s="16" t="s">
        <v>17</v>
      </c>
      <c r="T151" s="16" t="s">
        <v>7863</v>
      </c>
      <c r="U151" s="16" t="s">
        <v>17</v>
      </c>
      <c r="V151" s="16" t="s">
        <v>7072</v>
      </c>
      <c r="W151" s="16" t="s">
        <v>17</v>
      </c>
      <c r="X151" s="16" t="s">
        <v>7692</v>
      </c>
      <c r="Y151" s="16" t="s">
        <v>17</v>
      </c>
      <c r="Z151" s="16" t="s">
        <v>6926</v>
      </c>
    </row>
    <row r="152" spans="1:26" x14ac:dyDescent="0.3">
      <c r="A152" s="16">
        <v>151</v>
      </c>
      <c r="B152" s="16" t="s">
        <v>904</v>
      </c>
      <c r="C152" s="17">
        <v>9780071763059</v>
      </c>
      <c r="D152" s="17">
        <v>9780071763059</v>
      </c>
      <c r="E152" s="16" t="s">
        <v>6991</v>
      </c>
      <c r="F152" s="16" t="s">
        <v>17</v>
      </c>
      <c r="G152" s="16" t="s">
        <v>17</v>
      </c>
      <c r="H152" s="16" t="s">
        <v>17</v>
      </c>
      <c r="I152" s="16" t="s">
        <v>17</v>
      </c>
      <c r="J152" s="16" t="s">
        <v>17</v>
      </c>
      <c r="K152" s="16" t="s">
        <v>906</v>
      </c>
      <c r="L152" s="16" t="s">
        <v>905</v>
      </c>
      <c r="M152" s="16" t="s">
        <v>904</v>
      </c>
      <c r="N152" s="16" t="s">
        <v>17</v>
      </c>
      <c r="O152" s="16" t="s">
        <v>6921</v>
      </c>
      <c r="P152" s="16" t="s">
        <v>17</v>
      </c>
      <c r="Q152" s="16" t="s">
        <v>6922</v>
      </c>
      <c r="R152" s="16" t="s">
        <v>6923</v>
      </c>
      <c r="S152" s="16" t="s">
        <v>17</v>
      </c>
      <c r="T152" s="16" t="s">
        <v>6991</v>
      </c>
      <c r="U152" s="16" t="s">
        <v>17</v>
      </c>
      <c r="V152" s="16" t="s">
        <v>7903</v>
      </c>
      <c r="W152" s="16" t="s">
        <v>17</v>
      </c>
      <c r="X152" s="16" t="s">
        <v>904</v>
      </c>
      <c r="Y152" s="16" t="s">
        <v>17</v>
      </c>
      <c r="Z152" s="16" t="s">
        <v>6926</v>
      </c>
    </row>
    <row r="153" spans="1:26" x14ac:dyDescent="0.3">
      <c r="A153" s="16">
        <v>152</v>
      </c>
      <c r="B153" s="16" t="s">
        <v>8307</v>
      </c>
      <c r="C153" s="17">
        <v>9781260460407</v>
      </c>
      <c r="D153" s="17">
        <v>9781260460407</v>
      </c>
      <c r="E153" s="16" t="s">
        <v>7803</v>
      </c>
      <c r="F153" s="16" t="s">
        <v>17</v>
      </c>
      <c r="G153" s="16" t="s">
        <v>17</v>
      </c>
      <c r="H153" s="16" t="s">
        <v>17</v>
      </c>
      <c r="I153" s="16" t="s">
        <v>17</v>
      </c>
      <c r="J153" s="16" t="s">
        <v>17</v>
      </c>
      <c r="K153" s="16" t="s">
        <v>1364</v>
      </c>
      <c r="L153" s="16" t="s">
        <v>8308</v>
      </c>
      <c r="M153" s="16" t="s">
        <v>8307</v>
      </c>
      <c r="N153" s="16" t="s">
        <v>17</v>
      </c>
      <c r="O153" s="16" t="s">
        <v>6921</v>
      </c>
      <c r="P153" s="16" t="s">
        <v>17</v>
      </c>
      <c r="Q153" s="16" t="s">
        <v>6922</v>
      </c>
      <c r="R153" s="16" t="s">
        <v>6923</v>
      </c>
      <c r="S153" s="16" t="s">
        <v>17</v>
      </c>
      <c r="T153" s="16" t="s">
        <v>7803</v>
      </c>
      <c r="U153" s="16" t="s">
        <v>17</v>
      </c>
      <c r="V153" s="16" t="s">
        <v>6929</v>
      </c>
      <c r="W153" s="16" t="s">
        <v>17</v>
      </c>
      <c r="X153" s="16" t="s">
        <v>8307</v>
      </c>
      <c r="Y153" s="16" t="s">
        <v>17</v>
      </c>
      <c r="Z153" s="16" t="s">
        <v>6926</v>
      </c>
    </row>
    <row r="154" spans="1:26" x14ac:dyDescent="0.3">
      <c r="A154" s="16">
        <v>153</v>
      </c>
      <c r="B154" s="16" t="s">
        <v>7883</v>
      </c>
      <c r="C154" s="17">
        <v>9780071364294</v>
      </c>
      <c r="D154" s="17">
        <v>9780071364294</v>
      </c>
      <c r="E154" s="16" t="s">
        <v>7057</v>
      </c>
      <c r="F154" s="16" t="s">
        <v>17</v>
      </c>
      <c r="G154" s="16" t="s">
        <v>17</v>
      </c>
      <c r="H154" s="16" t="s">
        <v>17</v>
      </c>
      <c r="I154" s="16" t="s">
        <v>17</v>
      </c>
      <c r="J154" s="16" t="s">
        <v>17</v>
      </c>
      <c r="K154" s="16" t="s">
        <v>883</v>
      </c>
      <c r="L154" s="16" t="s">
        <v>882</v>
      </c>
      <c r="M154" s="16" t="s">
        <v>7883</v>
      </c>
      <c r="N154" s="16" t="s">
        <v>17</v>
      </c>
      <c r="O154" s="16" t="s">
        <v>6921</v>
      </c>
      <c r="P154" s="16" t="s">
        <v>17</v>
      </c>
      <c r="Q154" s="16" t="s">
        <v>6922</v>
      </c>
      <c r="R154" s="16" t="s">
        <v>6923</v>
      </c>
      <c r="S154" s="16" t="s">
        <v>17</v>
      </c>
      <c r="T154" s="16" t="s">
        <v>7057</v>
      </c>
      <c r="U154" s="16" t="s">
        <v>17</v>
      </c>
      <c r="V154" s="16" t="s">
        <v>6929</v>
      </c>
      <c r="W154" s="16" t="s">
        <v>17</v>
      </c>
      <c r="X154" s="16" t="s">
        <v>7883</v>
      </c>
      <c r="Y154" s="16" t="s">
        <v>17</v>
      </c>
      <c r="Z154" s="16" t="s">
        <v>6926</v>
      </c>
    </row>
    <row r="155" spans="1:26" x14ac:dyDescent="0.3">
      <c r="A155" s="16">
        <v>154</v>
      </c>
      <c r="B155" s="16" t="s">
        <v>7799</v>
      </c>
      <c r="C155" s="17">
        <v>9781264278053</v>
      </c>
      <c r="D155" s="17">
        <v>9781264278053</v>
      </c>
      <c r="E155" s="16" t="s">
        <v>7768</v>
      </c>
      <c r="F155" s="16" t="s">
        <v>17</v>
      </c>
      <c r="G155" s="16" t="s">
        <v>17</v>
      </c>
      <c r="H155" s="16" t="s">
        <v>17</v>
      </c>
      <c r="I155" s="16" t="s">
        <v>17</v>
      </c>
      <c r="J155" s="16" t="s">
        <v>17</v>
      </c>
      <c r="K155" s="16" t="s">
        <v>773</v>
      </c>
      <c r="L155" s="16" t="s">
        <v>772</v>
      </c>
      <c r="M155" s="16" t="s">
        <v>7799</v>
      </c>
      <c r="N155" s="16" t="s">
        <v>17</v>
      </c>
      <c r="O155" s="16" t="s">
        <v>6921</v>
      </c>
      <c r="P155" s="16" t="s">
        <v>17</v>
      </c>
      <c r="Q155" s="16" t="s">
        <v>6922</v>
      </c>
      <c r="R155" s="16" t="s">
        <v>6923</v>
      </c>
      <c r="S155" s="16" t="s">
        <v>17</v>
      </c>
      <c r="T155" s="16" t="s">
        <v>7768</v>
      </c>
      <c r="U155" s="16" t="s">
        <v>17</v>
      </c>
      <c r="V155" s="16" t="s">
        <v>6929</v>
      </c>
      <c r="W155" s="16" t="s">
        <v>17</v>
      </c>
      <c r="X155" s="16" t="s">
        <v>7799</v>
      </c>
      <c r="Y155" s="16" t="s">
        <v>17</v>
      </c>
      <c r="Z155" s="16" t="s">
        <v>6926</v>
      </c>
    </row>
    <row r="156" spans="1:26" x14ac:dyDescent="0.3">
      <c r="A156" s="16">
        <v>155</v>
      </c>
      <c r="B156" s="16" t="s">
        <v>1463</v>
      </c>
      <c r="C156" s="17">
        <v>9780070583542</v>
      </c>
      <c r="D156" s="17">
        <v>9780070583542</v>
      </c>
      <c r="E156" s="16" t="s">
        <v>6947</v>
      </c>
      <c r="F156" s="16" t="s">
        <v>17</v>
      </c>
      <c r="G156" s="16" t="s">
        <v>17</v>
      </c>
      <c r="H156" s="16" t="s">
        <v>17</v>
      </c>
      <c r="I156" s="16" t="s">
        <v>17</v>
      </c>
      <c r="J156" s="16" t="s">
        <v>17</v>
      </c>
      <c r="K156" s="16" t="s">
        <v>1464</v>
      </c>
      <c r="L156" s="16" t="s">
        <v>486</v>
      </c>
      <c r="M156" s="16" t="s">
        <v>1463</v>
      </c>
      <c r="N156" s="16" t="s">
        <v>17</v>
      </c>
      <c r="O156" s="16" t="s">
        <v>6921</v>
      </c>
      <c r="P156" s="16" t="s">
        <v>17</v>
      </c>
      <c r="Q156" s="16" t="s">
        <v>6922</v>
      </c>
      <c r="R156" s="16" t="s">
        <v>6923</v>
      </c>
      <c r="S156" s="16" t="s">
        <v>17</v>
      </c>
      <c r="T156" s="16" t="s">
        <v>6947</v>
      </c>
      <c r="U156" s="16" t="s">
        <v>17</v>
      </c>
      <c r="V156" s="16" t="s">
        <v>7049</v>
      </c>
      <c r="W156" s="16" t="s">
        <v>17</v>
      </c>
      <c r="X156" s="16" t="s">
        <v>1463</v>
      </c>
      <c r="Y156" s="16" t="s">
        <v>17</v>
      </c>
      <c r="Z156" s="16" t="s">
        <v>6926</v>
      </c>
    </row>
    <row r="157" spans="1:26" x14ac:dyDescent="0.3">
      <c r="A157" s="16">
        <v>156</v>
      </c>
      <c r="B157" s="16" t="s">
        <v>7448</v>
      </c>
      <c r="C157" s="17">
        <v>9780071609180</v>
      </c>
      <c r="D157" s="17">
        <v>9780071609180</v>
      </c>
      <c r="E157" s="16" t="s">
        <v>6920</v>
      </c>
      <c r="F157" s="16" t="s">
        <v>17</v>
      </c>
      <c r="G157" s="16" t="s">
        <v>17</v>
      </c>
      <c r="H157" s="16" t="s">
        <v>17</v>
      </c>
      <c r="I157" s="16" t="s">
        <v>17</v>
      </c>
      <c r="J157" s="16" t="s">
        <v>17</v>
      </c>
      <c r="K157" s="16" t="s">
        <v>458</v>
      </c>
      <c r="L157" s="16" t="s">
        <v>457</v>
      </c>
      <c r="M157" s="16" t="s">
        <v>7448</v>
      </c>
      <c r="N157" s="16" t="s">
        <v>17</v>
      </c>
      <c r="O157" s="16" t="s">
        <v>6921</v>
      </c>
      <c r="P157" s="16" t="s">
        <v>17</v>
      </c>
      <c r="Q157" s="16" t="s">
        <v>6922</v>
      </c>
      <c r="R157" s="16" t="s">
        <v>6923</v>
      </c>
      <c r="S157" s="16" t="s">
        <v>17</v>
      </c>
      <c r="T157" s="16" t="s">
        <v>6920</v>
      </c>
      <c r="U157" s="16" t="s">
        <v>17</v>
      </c>
      <c r="V157" s="16" t="s">
        <v>6929</v>
      </c>
      <c r="W157" s="16" t="s">
        <v>17</v>
      </c>
      <c r="X157" s="16" t="s">
        <v>7448</v>
      </c>
      <c r="Y157" s="16" t="s">
        <v>17</v>
      </c>
      <c r="Z157" s="16" t="s">
        <v>6926</v>
      </c>
    </row>
    <row r="158" spans="1:26" x14ac:dyDescent="0.3">
      <c r="A158" s="16">
        <v>157</v>
      </c>
      <c r="B158" s="16" t="s">
        <v>1154</v>
      </c>
      <c r="C158" s="17">
        <v>9780070126176</v>
      </c>
      <c r="D158" s="17">
        <v>9780070126176</v>
      </c>
      <c r="E158" s="16" t="s">
        <v>6920</v>
      </c>
      <c r="F158" s="16" t="s">
        <v>17</v>
      </c>
      <c r="G158" s="16" t="s">
        <v>17</v>
      </c>
      <c r="H158" s="16" t="s">
        <v>17</v>
      </c>
      <c r="I158" s="16" t="s">
        <v>17</v>
      </c>
      <c r="J158" s="16" t="s">
        <v>17</v>
      </c>
      <c r="K158" s="16" t="s">
        <v>1155</v>
      </c>
      <c r="L158" s="16" t="s">
        <v>1122</v>
      </c>
      <c r="M158" s="16" t="s">
        <v>1154</v>
      </c>
      <c r="N158" s="16" t="s">
        <v>17</v>
      </c>
      <c r="O158" s="16" t="s">
        <v>6921</v>
      </c>
      <c r="P158" s="16" t="s">
        <v>17</v>
      </c>
      <c r="Q158" s="16" t="s">
        <v>6922</v>
      </c>
      <c r="R158" s="16" t="s">
        <v>6923</v>
      </c>
      <c r="S158" s="16" t="s">
        <v>17</v>
      </c>
      <c r="T158" s="16" t="s">
        <v>6920</v>
      </c>
      <c r="U158" s="16" t="s">
        <v>17</v>
      </c>
      <c r="V158" s="16" t="s">
        <v>7049</v>
      </c>
      <c r="W158" s="16" t="s">
        <v>17</v>
      </c>
      <c r="X158" s="16" t="s">
        <v>1154</v>
      </c>
      <c r="Y158" s="16" t="s">
        <v>17</v>
      </c>
      <c r="Z158" s="16" t="s">
        <v>6926</v>
      </c>
    </row>
    <row r="159" spans="1:26" x14ac:dyDescent="0.3">
      <c r="A159" s="16">
        <v>158</v>
      </c>
      <c r="B159" s="16" t="s">
        <v>7882</v>
      </c>
      <c r="C159" s="17">
        <v>9780071361217</v>
      </c>
      <c r="D159" s="17">
        <v>9780071361217</v>
      </c>
      <c r="E159" s="16" t="s">
        <v>6920</v>
      </c>
      <c r="F159" s="16" t="s">
        <v>17</v>
      </c>
      <c r="G159" s="16" t="s">
        <v>17</v>
      </c>
      <c r="H159" s="16" t="s">
        <v>17</v>
      </c>
      <c r="I159" s="16" t="s">
        <v>17</v>
      </c>
      <c r="J159" s="16" t="s">
        <v>17</v>
      </c>
      <c r="K159" s="16" t="s">
        <v>881</v>
      </c>
      <c r="L159" s="16" t="s">
        <v>880</v>
      </c>
      <c r="M159" s="16" t="s">
        <v>7882</v>
      </c>
      <c r="N159" s="16" t="s">
        <v>17</v>
      </c>
      <c r="O159" s="16" t="s">
        <v>6921</v>
      </c>
      <c r="P159" s="16" t="s">
        <v>17</v>
      </c>
      <c r="Q159" s="16" t="s">
        <v>6922</v>
      </c>
      <c r="R159" s="16" t="s">
        <v>6923</v>
      </c>
      <c r="S159" s="16" t="s">
        <v>17</v>
      </c>
      <c r="T159" s="16" t="s">
        <v>6920</v>
      </c>
      <c r="U159" s="16" t="s">
        <v>17</v>
      </c>
      <c r="V159" s="16" t="s">
        <v>7363</v>
      </c>
      <c r="W159" s="16" t="s">
        <v>17</v>
      </c>
      <c r="X159" s="16" t="s">
        <v>7882</v>
      </c>
      <c r="Y159" s="16" t="s">
        <v>17</v>
      </c>
      <c r="Z159" s="16" t="s">
        <v>6926</v>
      </c>
    </row>
    <row r="160" spans="1:26" x14ac:dyDescent="0.3">
      <c r="A160" s="16">
        <v>159</v>
      </c>
      <c r="B160" s="16" t="s">
        <v>7164</v>
      </c>
      <c r="C160" s="17">
        <v>9780071843331</v>
      </c>
      <c r="D160" s="17">
        <v>9780071843331</v>
      </c>
      <c r="E160" s="16" t="s">
        <v>7165</v>
      </c>
      <c r="F160" s="16" t="s">
        <v>17</v>
      </c>
      <c r="G160" s="16" t="s">
        <v>17</v>
      </c>
      <c r="H160" s="16" t="s">
        <v>17</v>
      </c>
      <c r="I160" s="16" t="s">
        <v>17</v>
      </c>
      <c r="J160" s="16" t="s">
        <v>17</v>
      </c>
      <c r="K160" s="16" t="s">
        <v>216</v>
      </c>
      <c r="L160" s="16" t="s">
        <v>7166</v>
      </c>
      <c r="M160" s="16" t="s">
        <v>7164</v>
      </c>
      <c r="N160" s="16" t="s">
        <v>17</v>
      </c>
      <c r="O160" s="16" t="s">
        <v>6921</v>
      </c>
      <c r="P160" s="16" t="s">
        <v>17</v>
      </c>
      <c r="Q160" s="16" t="s">
        <v>6922</v>
      </c>
      <c r="R160" s="16" t="s">
        <v>6923</v>
      </c>
      <c r="S160" s="16" t="s">
        <v>17</v>
      </c>
      <c r="T160" s="16" t="s">
        <v>7165</v>
      </c>
      <c r="U160" s="16" t="s">
        <v>17</v>
      </c>
      <c r="V160" s="16" t="s">
        <v>7024</v>
      </c>
      <c r="W160" s="16" t="s">
        <v>17</v>
      </c>
      <c r="X160" s="16" t="s">
        <v>7164</v>
      </c>
      <c r="Y160" s="16" t="s">
        <v>17</v>
      </c>
      <c r="Z160" s="16" t="s">
        <v>6926</v>
      </c>
    </row>
    <row r="161" spans="1:26" x14ac:dyDescent="0.3">
      <c r="A161" s="16">
        <v>160</v>
      </c>
      <c r="B161" s="16" t="s">
        <v>1512</v>
      </c>
      <c r="C161" s="17">
        <v>9780071409278</v>
      </c>
      <c r="D161" s="17">
        <v>9780071409278</v>
      </c>
      <c r="E161" s="16" t="s">
        <v>6920</v>
      </c>
      <c r="F161" s="16" t="s">
        <v>17</v>
      </c>
      <c r="G161" s="16" t="s">
        <v>17</v>
      </c>
      <c r="H161" s="16" t="s">
        <v>17</v>
      </c>
      <c r="I161" s="16" t="s">
        <v>17</v>
      </c>
      <c r="J161" s="16" t="s">
        <v>17</v>
      </c>
      <c r="K161" s="16" t="s">
        <v>1514</v>
      </c>
      <c r="L161" s="16" t="s">
        <v>1513</v>
      </c>
      <c r="M161" s="16" t="s">
        <v>1512</v>
      </c>
      <c r="N161" s="16" t="s">
        <v>17</v>
      </c>
      <c r="O161" s="16" t="s">
        <v>6921</v>
      </c>
      <c r="P161" s="16" t="s">
        <v>17</v>
      </c>
      <c r="Q161" s="16" t="s">
        <v>6922</v>
      </c>
      <c r="R161" s="16" t="s">
        <v>6923</v>
      </c>
      <c r="S161" s="16" t="s">
        <v>17</v>
      </c>
      <c r="T161" s="16" t="s">
        <v>6920</v>
      </c>
      <c r="U161" s="16" t="s">
        <v>17</v>
      </c>
      <c r="V161" s="16" t="s">
        <v>7049</v>
      </c>
      <c r="W161" s="16" t="s">
        <v>17</v>
      </c>
      <c r="X161" s="16" t="s">
        <v>1512</v>
      </c>
      <c r="Y161" s="16" t="s">
        <v>17</v>
      </c>
      <c r="Z161" s="16" t="s">
        <v>6926</v>
      </c>
    </row>
    <row r="162" spans="1:26" x14ac:dyDescent="0.3">
      <c r="A162" s="16">
        <v>161</v>
      </c>
      <c r="B162" s="16" t="s">
        <v>7914</v>
      </c>
      <c r="C162" s="17">
        <v>9780071544528</v>
      </c>
      <c r="D162" s="17">
        <v>9780071544528</v>
      </c>
      <c r="E162" s="16" t="s">
        <v>6920</v>
      </c>
      <c r="F162" s="16" t="s">
        <v>17</v>
      </c>
      <c r="G162" s="16" t="s">
        <v>17</v>
      </c>
      <c r="H162" s="16" t="s">
        <v>17</v>
      </c>
      <c r="I162" s="16" t="s">
        <v>17</v>
      </c>
      <c r="J162" s="16" t="s">
        <v>17</v>
      </c>
      <c r="K162" s="16" t="s">
        <v>921</v>
      </c>
      <c r="L162" s="16" t="s">
        <v>920</v>
      </c>
      <c r="M162" s="16" t="s">
        <v>7914</v>
      </c>
      <c r="N162" s="16" t="s">
        <v>17</v>
      </c>
      <c r="O162" s="16" t="s">
        <v>6921</v>
      </c>
      <c r="P162" s="16" t="s">
        <v>17</v>
      </c>
      <c r="Q162" s="16" t="s">
        <v>6922</v>
      </c>
      <c r="R162" s="16" t="s">
        <v>6923</v>
      </c>
      <c r="S162" s="16" t="s">
        <v>17</v>
      </c>
      <c r="T162" s="16" t="s">
        <v>6920</v>
      </c>
      <c r="U162" s="16" t="s">
        <v>17</v>
      </c>
      <c r="V162" s="16" t="s">
        <v>7480</v>
      </c>
      <c r="W162" s="16" t="s">
        <v>17</v>
      </c>
      <c r="X162" s="16" t="s">
        <v>7914</v>
      </c>
      <c r="Y162" s="16" t="s">
        <v>17</v>
      </c>
      <c r="Z162" s="16" t="s">
        <v>6926</v>
      </c>
    </row>
    <row r="163" spans="1:26" x14ac:dyDescent="0.3">
      <c r="A163" s="16">
        <v>162</v>
      </c>
      <c r="B163" s="16" t="s">
        <v>7895</v>
      </c>
      <c r="C163" s="17">
        <v>9780071772877</v>
      </c>
      <c r="D163" s="17">
        <v>9780071772877</v>
      </c>
      <c r="E163" s="16" t="s">
        <v>7896</v>
      </c>
      <c r="F163" s="16" t="s">
        <v>17</v>
      </c>
      <c r="G163" s="16" t="s">
        <v>17</v>
      </c>
      <c r="H163" s="16" t="s">
        <v>17</v>
      </c>
      <c r="I163" s="16" t="s">
        <v>17</v>
      </c>
      <c r="J163" s="16" t="s">
        <v>17</v>
      </c>
      <c r="K163" s="16" t="s">
        <v>896</v>
      </c>
      <c r="L163" s="16" t="s">
        <v>7227</v>
      </c>
      <c r="M163" s="16" t="s">
        <v>7895</v>
      </c>
      <c r="N163" s="16" t="s">
        <v>17</v>
      </c>
      <c r="O163" s="16" t="s">
        <v>6921</v>
      </c>
      <c r="P163" s="16" t="s">
        <v>17</v>
      </c>
      <c r="Q163" s="16" t="s">
        <v>6922</v>
      </c>
      <c r="R163" s="16" t="s">
        <v>6923</v>
      </c>
      <c r="S163" s="16" t="s">
        <v>17</v>
      </c>
      <c r="T163" s="16" t="s">
        <v>7896</v>
      </c>
      <c r="U163" s="16" t="s">
        <v>17</v>
      </c>
      <c r="V163" s="16" t="s">
        <v>6929</v>
      </c>
      <c r="W163" s="16" t="s">
        <v>17</v>
      </c>
      <c r="X163" s="16" t="s">
        <v>7895</v>
      </c>
      <c r="Y163" s="16" t="s">
        <v>17</v>
      </c>
      <c r="Z163" s="16" t="s">
        <v>6926</v>
      </c>
    </row>
    <row r="164" spans="1:26" x14ac:dyDescent="0.3">
      <c r="A164" s="16">
        <v>163</v>
      </c>
      <c r="B164" s="16" t="s">
        <v>8456</v>
      </c>
      <c r="C164" s="17">
        <v>9781260011814</v>
      </c>
      <c r="D164" s="17">
        <v>9781260011814</v>
      </c>
      <c r="E164" s="16" t="s">
        <v>8443</v>
      </c>
      <c r="F164" s="16" t="s">
        <v>17</v>
      </c>
      <c r="G164" s="16" t="s">
        <v>17</v>
      </c>
      <c r="H164" s="16" t="s">
        <v>17</v>
      </c>
      <c r="I164" s="16" t="s">
        <v>17</v>
      </c>
      <c r="J164" s="16" t="s">
        <v>17</v>
      </c>
      <c r="K164" s="16" t="s">
        <v>1632</v>
      </c>
      <c r="L164" s="16" t="s">
        <v>8457</v>
      </c>
      <c r="M164" s="16" t="s">
        <v>8456</v>
      </c>
      <c r="N164" s="16" t="s">
        <v>17</v>
      </c>
      <c r="O164" s="16" t="s">
        <v>6921</v>
      </c>
      <c r="P164" s="16" t="s">
        <v>17</v>
      </c>
      <c r="Q164" s="16" t="s">
        <v>6922</v>
      </c>
      <c r="R164" s="16" t="s">
        <v>6923</v>
      </c>
      <c r="S164" s="16" t="s">
        <v>17</v>
      </c>
      <c r="T164" s="16" t="s">
        <v>8443</v>
      </c>
      <c r="U164" s="16" t="s">
        <v>17</v>
      </c>
      <c r="V164" s="16" t="s">
        <v>6929</v>
      </c>
      <c r="W164" s="16" t="s">
        <v>17</v>
      </c>
      <c r="X164" s="16" t="s">
        <v>8456</v>
      </c>
      <c r="Y164" s="16" t="s">
        <v>17</v>
      </c>
      <c r="Z164" s="16" t="s">
        <v>6926</v>
      </c>
    </row>
    <row r="165" spans="1:26" x14ac:dyDescent="0.3">
      <c r="A165" s="16">
        <v>164</v>
      </c>
      <c r="B165" s="16" t="s">
        <v>7806</v>
      </c>
      <c r="C165" s="17">
        <v>9781264274949</v>
      </c>
      <c r="D165" s="17">
        <v>9781264274949</v>
      </c>
      <c r="E165" s="16" t="s">
        <v>7768</v>
      </c>
      <c r="F165" s="16" t="s">
        <v>17</v>
      </c>
      <c r="G165" s="16" t="s">
        <v>17</v>
      </c>
      <c r="H165" s="16" t="s">
        <v>17</v>
      </c>
      <c r="I165" s="16" t="s">
        <v>17</v>
      </c>
      <c r="J165" s="16" t="s">
        <v>17</v>
      </c>
      <c r="K165" s="16" t="s">
        <v>780</v>
      </c>
      <c r="L165" s="16" t="s">
        <v>779</v>
      </c>
      <c r="M165" s="16" t="s">
        <v>7806</v>
      </c>
      <c r="N165" s="16" t="s">
        <v>17</v>
      </c>
      <c r="O165" s="16" t="s">
        <v>6921</v>
      </c>
      <c r="P165" s="16" t="s">
        <v>17</v>
      </c>
      <c r="Q165" s="16" t="s">
        <v>6922</v>
      </c>
      <c r="R165" s="16" t="s">
        <v>6923</v>
      </c>
      <c r="S165" s="16" t="s">
        <v>17</v>
      </c>
      <c r="T165" s="16" t="s">
        <v>7768</v>
      </c>
      <c r="U165" s="16" t="s">
        <v>17</v>
      </c>
      <c r="V165" s="16" t="s">
        <v>6929</v>
      </c>
      <c r="W165" s="16" t="s">
        <v>17</v>
      </c>
      <c r="X165" s="16" t="s">
        <v>7806</v>
      </c>
      <c r="Y165" s="16" t="s">
        <v>17</v>
      </c>
      <c r="Z165" s="16" t="s">
        <v>6926</v>
      </c>
    </row>
    <row r="166" spans="1:26" x14ac:dyDescent="0.3">
      <c r="A166" s="16">
        <v>165</v>
      </c>
      <c r="B166" s="16" t="s">
        <v>8248</v>
      </c>
      <c r="C166" s="17">
        <v>9781260117608</v>
      </c>
      <c r="D166" s="17">
        <v>9781260117608</v>
      </c>
      <c r="E166" s="16" t="s">
        <v>7739</v>
      </c>
      <c r="F166" s="16" t="s">
        <v>17</v>
      </c>
      <c r="G166" s="16" t="s">
        <v>17</v>
      </c>
      <c r="H166" s="16" t="s">
        <v>17</v>
      </c>
      <c r="I166" s="16" t="s">
        <v>17</v>
      </c>
      <c r="J166" s="16" t="s">
        <v>17</v>
      </c>
      <c r="K166" s="16" t="s">
        <v>1321</v>
      </c>
      <c r="L166" s="16" t="s">
        <v>8249</v>
      </c>
      <c r="M166" s="16" t="s">
        <v>8248</v>
      </c>
      <c r="N166" s="16" t="s">
        <v>17</v>
      </c>
      <c r="O166" s="16" t="s">
        <v>6921</v>
      </c>
      <c r="P166" s="16" t="s">
        <v>17</v>
      </c>
      <c r="Q166" s="16" t="s">
        <v>6922</v>
      </c>
      <c r="R166" s="16" t="s">
        <v>6923</v>
      </c>
      <c r="S166" s="16" t="s">
        <v>17</v>
      </c>
      <c r="T166" s="16" t="s">
        <v>7739</v>
      </c>
      <c r="U166" s="16" t="s">
        <v>17</v>
      </c>
      <c r="V166" s="16" t="s">
        <v>6929</v>
      </c>
      <c r="W166" s="16" t="s">
        <v>17</v>
      </c>
      <c r="X166" s="16" t="s">
        <v>8248</v>
      </c>
      <c r="Y166" s="16" t="s">
        <v>17</v>
      </c>
      <c r="Z166" s="16" t="s">
        <v>6926</v>
      </c>
    </row>
    <row r="167" spans="1:26" x14ac:dyDescent="0.3">
      <c r="A167" s="16">
        <v>166</v>
      </c>
      <c r="B167" s="16" t="s">
        <v>8091</v>
      </c>
      <c r="C167" s="17">
        <v>9780071701242</v>
      </c>
      <c r="D167" s="17">
        <v>9780071701242</v>
      </c>
      <c r="E167" s="16" t="s">
        <v>6920</v>
      </c>
      <c r="F167" s="16" t="s">
        <v>17</v>
      </c>
      <c r="G167" s="16" t="s">
        <v>17</v>
      </c>
      <c r="H167" s="16" t="s">
        <v>17</v>
      </c>
      <c r="I167" s="16" t="s">
        <v>17</v>
      </c>
      <c r="J167" s="16" t="s">
        <v>17</v>
      </c>
      <c r="K167" s="16" t="s">
        <v>1179</v>
      </c>
      <c r="L167" s="16" t="s">
        <v>1178</v>
      </c>
      <c r="M167" s="16" t="s">
        <v>8091</v>
      </c>
      <c r="N167" s="16" t="s">
        <v>17</v>
      </c>
      <c r="O167" s="16" t="s">
        <v>6921</v>
      </c>
      <c r="P167" s="16" t="s">
        <v>17</v>
      </c>
      <c r="Q167" s="16" t="s">
        <v>6922</v>
      </c>
      <c r="R167" s="16" t="s">
        <v>6923</v>
      </c>
      <c r="S167" s="16" t="s">
        <v>17</v>
      </c>
      <c r="T167" s="16" t="s">
        <v>6920</v>
      </c>
      <c r="U167" s="16" t="s">
        <v>17</v>
      </c>
      <c r="V167" s="16" t="s">
        <v>6929</v>
      </c>
      <c r="W167" s="16" t="s">
        <v>17</v>
      </c>
      <c r="X167" s="16" t="s">
        <v>8091</v>
      </c>
      <c r="Y167" s="16" t="s">
        <v>17</v>
      </c>
      <c r="Z167" s="16" t="s">
        <v>6926</v>
      </c>
    </row>
    <row r="168" spans="1:26" x14ac:dyDescent="0.3">
      <c r="A168" s="16">
        <v>167</v>
      </c>
      <c r="B168" s="16" t="s">
        <v>8054</v>
      </c>
      <c r="C168" s="17">
        <v>9780071797870</v>
      </c>
      <c r="D168" s="17">
        <v>9780071797870</v>
      </c>
      <c r="E168" s="16" t="s">
        <v>7418</v>
      </c>
      <c r="F168" s="16" t="s">
        <v>17</v>
      </c>
      <c r="G168" s="16" t="s">
        <v>17</v>
      </c>
      <c r="H168" s="16" t="s">
        <v>17</v>
      </c>
      <c r="I168" s="16" t="s">
        <v>17</v>
      </c>
      <c r="J168" s="16" t="s">
        <v>17</v>
      </c>
      <c r="K168" s="16" t="s">
        <v>1131</v>
      </c>
      <c r="L168" s="16" t="s">
        <v>8055</v>
      </c>
      <c r="M168" s="16" t="s">
        <v>8054</v>
      </c>
      <c r="N168" s="16" t="s">
        <v>17</v>
      </c>
      <c r="O168" s="16" t="s">
        <v>6921</v>
      </c>
      <c r="P168" s="16" t="s">
        <v>17</v>
      </c>
      <c r="Q168" s="16" t="s">
        <v>6922</v>
      </c>
      <c r="R168" s="16" t="s">
        <v>6923</v>
      </c>
      <c r="S168" s="16" t="s">
        <v>17</v>
      </c>
      <c r="T168" s="16" t="s">
        <v>7418</v>
      </c>
      <c r="U168" s="16" t="s">
        <v>17</v>
      </c>
      <c r="V168" s="16" t="s">
        <v>7024</v>
      </c>
      <c r="W168" s="16" t="s">
        <v>17</v>
      </c>
      <c r="X168" s="16" t="s">
        <v>8054</v>
      </c>
      <c r="Y168" s="16" t="s">
        <v>17</v>
      </c>
      <c r="Z168" s="16" t="s">
        <v>6926</v>
      </c>
    </row>
    <row r="169" spans="1:26" x14ac:dyDescent="0.3">
      <c r="A169" s="16">
        <v>168</v>
      </c>
      <c r="B169" s="16" t="s">
        <v>7062</v>
      </c>
      <c r="C169" s="17">
        <v>9780071364317</v>
      </c>
      <c r="D169" s="17">
        <v>9780071364317</v>
      </c>
      <c r="E169" s="16" t="s">
        <v>7063</v>
      </c>
      <c r="F169" s="16" t="s">
        <v>17</v>
      </c>
      <c r="G169" s="16" t="s">
        <v>17</v>
      </c>
      <c r="H169" s="16" t="s">
        <v>17</v>
      </c>
      <c r="I169" s="16" t="s">
        <v>17</v>
      </c>
      <c r="J169" s="16" t="s">
        <v>17</v>
      </c>
      <c r="K169" s="16" t="s">
        <v>126</v>
      </c>
      <c r="L169" s="16" t="s">
        <v>125</v>
      </c>
      <c r="M169" s="16" t="s">
        <v>7062</v>
      </c>
      <c r="N169" s="16" t="s">
        <v>17</v>
      </c>
      <c r="O169" s="16" t="s">
        <v>6921</v>
      </c>
      <c r="P169" s="16" t="s">
        <v>17</v>
      </c>
      <c r="Q169" s="16" t="s">
        <v>6922</v>
      </c>
      <c r="R169" s="16" t="s">
        <v>6923</v>
      </c>
      <c r="S169" s="16" t="s">
        <v>17</v>
      </c>
      <c r="T169" s="16" t="s">
        <v>7063</v>
      </c>
      <c r="U169" s="16" t="s">
        <v>17</v>
      </c>
      <c r="V169" s="16" t="s">
        <v>6929</v>
      </c>
      <c r="W169" s="16" t="s">
        <v>17</v>
      </c>
      <c r="X169" s="16" t="s">
        <v>7062</v>
      </c>
      <c r="Y169" s="16" t="s">
        <v>17</v>
      </c>
      <c r="Z169" s="16" t="s">
        <v>6926</v>
      </c>
    </row>
    <row r="170" spans="1:26" x14ac:dyDescent="0.3">
      <c r="A170" s="16">
        <v>169</v>
      </c>
      <c r="B170" s="16" t="s">
        <v>1515</v>
      </c>
      <c r="C170" s="17">
        <v>9780071622318</v>
      </c>
      <c r="D170" s="17">
        <v>9780071622318</v>
      </c>
      <c r="E170" s="16" t="s">
        <v>6920</v>
      </c>
      <c r="F170" s="16" t="s">
        <v>17</v>
      </c>
      <c r="G170" s="16" t="s">
        <v>17</v>
      </c>
      <c r="H170" s="16" t="s">
        <v>17</v>
      </c>
      <c r="I170" s="16" t="s">
        <v>17</v>
      </c>
      <c r="J170" s="16" t="s">
        <v>17</v>
      </c>
      <c r="K170" s="16" t="s">
        <v>1517</v>
      </c>
      <c r="L170" s="16" t="s">
        <v>1516</v>
      </c>
      <c r="M170" s="16" t="s">
        <v>1515</v>
      </c>
      <c r="N170" s="16" t="s">
        <v>17</v>
      </c>
      <c r="O170" s="16" t="s">
        <v>6921</v>
      </c>
      <c r="P170" s="16" t="s">
        <v>17</v>
      </c>
      <c r="Q170" s="16" t="s">
        <v>6922</v>
      </c>
      <c r="R170" s="16" t="s">
        <v>6923</v>
      </c>
      <c r="S170" s="16" t="s">
        <v>17</v>
      </c>
      <c r="T170" s="16" t="s">
        <v>6920</v>
      </c>
      <c r="U170" s="16" t="s">
        <v>17</v>
      </c>
      <c r="V170" s="16" t="s">
        <v>7049</v>
      </c>
      <c r="W170" s="16" t="s">
        <v>17</v>
      </c>
      <c r="X170" s="16" t="s">
        <v>1515</v>
      </c>
      <c r="Y170" s="16" t="s">
        <v>17</v>
      </c>
      <c r="Z170" s="16" t="s">
        <v>6926</v>
      </c>
    </row>
    <row r="171" spans="1:26" x14ac:dyDescent="0.3">
      <c r="A171" s="16">
        <v>170</v>
      </c>
      <c r="B171" s="16" t="s">
        <v>7038</v>
      </c>
      <c r="C171" s="17">
        <v>9780071360227</v>
      </c>
      <c r="D171" s="17">
        <v>9780071360227</v>
      </c>
      <c r="E171" s="16" t="s">
        <v>6920</v>
      </c>
      <c r="F171" s="16" t="s">
        <v>17</v>
      </c>
      <c r="G171" s="16" t="s">
        <v>17</v>
      </c>
      <c r="H171" s="16" t="s">
        <v>17</v>
      </c>
      <c r="I171" s="16" t="s">
        <v>17</v>
      </c>
      <c r="J171" s="16" t="s">
        <v>17</v>
      </c>
      <c r="K171" s="16" t="s">
        <v>105</v>
      </c>
      <c r="L171" s="16" t="s">
        <v>7039</v>
      </c>
      <c r="M171" s="16" t="s">
        <v>7038</v>
      </c>
      <c r="N171" s="16" t="s">
        <v>17</v>
      </c>
      <c r="O171" s="16" t="s">
        <v>6921</v>
      </c>
      <c r="P171" s="16" t="s">
        <v>17</v>
      </c>
      <c r="Q171" s="16" t="s">
        <v>6922</v>
      </c>
      <c r="R171" s="16" t="s">
        <v>6923</v>
      </c>
      <c r="S171" s="16" t="s">
        <v>17</v>
      </c>
      <c r="T171" s="16" t="s">
        <v>6920</v>
      </c>
      <c r="U171" s="16" t="s">
        <v>17</v>
      </c>
      <c r="V171" s="16" t="s">
        <v>6929</v>
      </c>
      <c r="W171" s="16" t="s">
        <v>17</v>
      </c>
      <c r="X171" s="16" t="s">
        <v>7038</v>
      </c>
      <c r="Y171" s="16" t="s">
        <v>17</v>
      </c>
      <c r="Z171" s="16" t="s">
        <v>6926</v>
      </c>
    </row>
    <row r="172" spans="1:26" x14ac:dyDescent="0.3">
      <c r="A172" s="16">
        <v>171</v>
      </c>
      <c r="B172" s="16" t="s">
        <v>7220</v>
      </c>
      <c r="C172" s="17">
        <v>9780070383654</v>
      </c>
      <c r="D172" s="17">
        <v>9780070383654</v>
      </c>
      <c r="E172" s="16" t="s">
        <v>6920</v>
      </c>
      <c r="F172" s="16" t="s">
        <v>17</v>
      </c>
      <c r="G172" s="16" t="s">
        <v>17</v>
      </c>
      <c r="H172" s="16" t="s">
        <v>17</v>
      </c>
      <c r="I172" s="16" t="s">
        <v>17</v>
      </c>
      <c r="J172" s="16" t="s">
        <v>17</v>
      </c>
      <c r="K172" s="16" t="s">
        <v>257</v>
      </c>
      <c r="L172" s="16" t="s">
        <v>7039</v>
      </c>
      <c r="M172" s="16" t="s">
        <v>7220</v>
      </c>
      <c r="N172" s="16" t="s">
        <v>17</v>
      </c>
      <c r="O172" s="16" t="s">
        <v>6921</v>
      </c>
      <c r="P172" s="16" t="s">
        <v>17</v>
      </c>
      <c r="Q172" s="16" t="s">
        <v>6922</v>
      </c>
      <c r="R172" s="16" t="s">
        <v>6923</v>
      </c>
      <c r="S172" s="16" t="s">
        <v>17</v>
      </c>
      <c r="T172" s="16" t="s">
        <v>6920</v>
      </c>
      <c r="U172" s="16" t="s">
        <v>17</v>
      </c>
      <c r="V172" s="16" t="s">
        <v>6929</v>
      </c>
      <c r="W172" s="16" t="s">
        <v>17</v>
      </c>
      <c r="X172" s="16" t="s">
        <v>7220</v>
      </c>
      <c r="Y172" s="16" t="s">
        <v>17</v>
      </c>
      <c r="Z172" s="16" t="s">
        <v>6926</v>
      </c>
    </row>
    <row r="173" spans="1:26" x14ac:dyDescent="0.3">
      <c r="A173" s="16">
        <v>172</v>
      </c>
      <c r="B173" s="16" t="s">
        <v>7192</v>
      </c>
      <c r="C173" s="17">
        <v>9780071826945</v>
      </c>
      <c r="D173" s="17">
        <v>9780071826945</v>
      </c>
      <c r="E173" s="16" t="s">
        <v>6942</v>
      </c>
      <c r="F173" s="16" t="s">
        <v>17</v>
      </c>
      <c r="G173" s="16" t="s">
        <v>17</v>
      </c>
      <c r="H173" s="16" t="s">
        <v>17</v>
      </c>
      <c r="I173" s="16" t="s">
        <v>17</v>
      </c>
      <c r="J173" s="16" t="s">
        <v>17</v>
      </c>
      <c r="K173" s="16" t="s">
        <v>236</v>
      </c>
      <c r="L173" s="16" t="s">
        <v>7039</v>
      </c>
      <c r="M173" s="16" t="s">
        <v>7192</v>
      </c>
      <c r="N173" s="16" t="s">
        <v>17</v>
      </c>
      <c r="O173" s="16" t="s">
        <v>6921</v>
      </c>
      <c r="P173" s="16" t="s">
        <v>17</v>
      </c>
      <c r="Q173" s="16" t="s">
        <v>6922</v>
      </c>
      <c r="R173" s="16" t="s">
        <v>6923</v>
      </c>
      <c r="S173" s="16" t="s">
        <v>17</v>
      </c>
      <c r="T173" s="16" t="s">
        <v>6942</v>
      </c>
      <c r="U173" s="16" t="s">
        <v>17</v>
      </c>
      <c r="V173" s="16" t="s">
        <v>6944</v>
      </c>
      <c r="W173" s="16" t="s">
        <v>17</v>
      </c>
      <c r="X173" s="16" t="s">
        <v>7192</v>
      </c>
      <c r="Y173" s="16" t="s">
        <v>17</v>
      </c>
      <c r="Z173" s="16" t="s">
        <v>6926</v>
      </c>
    </row>
    <row r="174" spans="1:26" x14ac:dyDescent="0.3">
      <c r="A174" s="16">
        <v>173</v>
      </c>
      <c r="B174" s="16" t="s">
        <v>7553</v>
      </c>
      <c r="C174" s="17">
        <v>9781264278725</v>
      </c>
      <c r="D174" s="17">
        <v>9781264278725</v>
      </c>
      <c r="E174" s="16" t="s">
        <v>7554</v>
      </c>
      <c r="F174" s="16" t="s">
        <v>17</v>
      </c>
      <c r="G174" s="16" t="s">
        <v>17</v>
      </c>
      <c r="H174" s="16" t="s">
        <v>17</v>
      </c>
      <c r="I174" s="16" t="s">
        <v>17</v>
      </c>
      <c r="J174" s="16" t="s">
        <v>17</v>
      </c>
      <c r="K174" s="16" t="s">
        <v>546</v>
      </c>
      <c r="L174" s="16" t="s">
        <v>7555</v>
      </c>
      <c r="M174" s="16" t="s">
        <v>7553</v>
      </c>
      <c r="N174" s="16" t="s">
        <v>17</v>
      </c>
      <c r="O174" s="16" t="s">
        <v>6921</v>
      </c>
      <c r="P174" s="16" t="s">
        <v>17</v>
      </c>
      <c r="Q174" s="16" t="s">
        <v>6922</v>
      </c>
      <c r="R174" s="16" t="s">
        <v>6923</v>
      </c>
      <c r="S174" s="16" t="s">
        <v>17</v>
      </c>
      <c r="T174" s="16" t="s">
        <v>7554</v>
      </c>
      <c r="U174" s="16" t="s">
        <v>17</v>
      </c>
      <c r="V174" s="16" t="s">
        <v>7173</v>
      </c>
      <c r="W174" s="16" t="s">
        <v>17</v>
      </c>
      <c r="X174" s="16" t="s">
        <v>7553</v>
      </c>
      <c r="Y174" s="16" t="s">
        <v>17</v>
      </c>
      <c r="Z174" s="16" t="s">
        <v>6926</v>
      </c>
    </row>
    <row r="175" spans="1:26" x14ac:dyDescent="0.3">
      <c r="A175" s="16">
        <v>174</v>
      </c>
      <c r="B175" s="16" t="s">
        <v>7553</v>
      </c>
      <c r="C175" s="17">
        <v>9781260108804</v>
      </c>
      <c r="D175" s="17">
        <v>9781260108804</v>
      </c>
      <c r="E175" s="16" t="s">
        <v>7846</v>
      </c>
      <c r="F175" s="16" t="s">
        <v>17</v>
      </c>
      <c r="G175" s="16" t="s">
        <v>17</v>
      </c>
      <c r="H175" s="16" t="s">
        <v>17</v>
      </c>
      <c r="I175" s="16" t="s">
        <v>17</v>
      </c>
      <c r="J175" s="16" t="s">
        <v>17</v>
      </c>
      <c r="K175" s="16" t="s">
        <v>834</v>
      </c>
      <c r="L175" s="16" t="s">
        <v>7847</v>
      </c>
      <c r="M175" s="16" t="s">
        <v>7553</v>
      </c>
      <c r="N175" s="16" t="s">
        <v>17</v>
      </c>
      <c r="O175" s="16" t="s">
        <v>6921</v>
      </c>
      <c r="P175" s="16" t="s">
        <v>17</v>
      </c>
      <c r="Q175" s="16" t="s">
        <v>6922</v>
      </c>
      <c r="R175" s="16" t="s">
        <v>6923</v>
      </c>
      <c r="S175" s="16" t="s">
        <v>17</v>
      </c>
      <c r="T175" s="16" t="s">
        <v>7846</v>
      </c>
      <c r="U175" s="16" t="s">
        <v>17</v>
      </c>
      <c r="V175" s="16" t="s">
        <v>7359</v>
      </c>
      <c r="W175" s="16" t="s">
        <v>17</v>
      </c>
      <c r="X175" s="16" t="s">
        <v>7553</v>
      </c>
      <c r="Y175" s="16" t="s">
        <v>17</v>
      </c>
      <c r="Z175" s="16" t="s">
        <v>6926</v>
      </c>
    </row>
    <row r="176" spans="1:26" x14ac:dyDescent="0.3">
      <c r="A176" s="16">
        <v>175</v>
      </c>
      <c r="B176" s="16" t="s">
        <v>8018</v>
      </c>
      <c r="C176" s="17">
        <v>9781260440775</v>
      </c>
      <c r="D176" s="17">
        <v>9781260440775</v>
      </c>
      <c r="E176" s="16" t="s">
        <v>8019</v>
      </c>
      <c r="F176" s="16" t="s">
        <v>17</v>
      </c>
      <c r="G176" s="16" t="s">
        <v>17</v>
      </c>
      <c r="H176" s="16" t="s">
        <v>17</v>
      </c>
      <c r="I176" s="16" t="s">
        <v>17</v>
      </c>
      <c r="J176" s="16" t="s">
        <v>17</v>
      </c>
      <c r="K176" s="16" t="s">
        <v>1080</v>
      </c>
      <c r="L176" s="16" t="s">
        <v>1079</v>
      </c>
      <c r="M176" s="16" t="s">
        <v>8018</v>
      </c>
      <c r="N176" s="16" t="s">
        <v>17</v>
      </c>
      <c r="O176" s="16" t="s">
        <v>6921</v>
      </c>
      <c r="P176" s="16" t="s">
        <v>17</v>
      </c>
      <c r="Q176" s="16" t="s">
        <v>6922</v>
      </c>
      <c r="R176" s="16" t="s">
        <v>6923</v>
      </c>
      <c r="S176" s="16" t="s">
        <v>17</v>
      </c>
      <c r="T176" s="16" t="s">
        <v>8019</v>
      </c>
      <c r="U176" s="16" t="s">
        <v>17</v>
      </c>
      <c r="V176" s="16" t="s">
        <v>6929</v>
      </c>
      <c r="W176" s="16" t="s">
        <v>17</v>
      </c>
      <c r="X176" s="16" t="s">
        <v>8018</v>
      </c>
      <c r="Y176" s="16" t="s">
        <v>17</v>
      </c>
      <c r="Z176" s="16" t="s">
        <v>6926</v>
      </c>
    </row>
    <row r="177" spans="1:26" x14ac:dyDescent="0.3">
      <c r="A177" s="16">
        <v>176</v>
      </c>
      <c r="B177" s="16" t="s">
        <v>7754</v>
      </c>
      <c r="C177" s="17">
        <v>9781264257829</v>
      </c>
      <c r="D177" s="17">
        <v>9781264257829</v>
      </c>
      <c r="E177" s="16" t="s">
        <v>7755</v>
      </c>
      <c r="F177" s="16" t="s">
        <v>17</v>
      </c>
      <c r="G177" s="16" t="s">
        <v>17</v>
      </c>
      <c r="H177" s="16" t="s">
        <v>17</v>
      </c>
      <c r="I177" s="16" t="s">
        <v>17</v>
      </c>
      <c r="J177" s="16" t="s">
        <v>17</v>
      </c>
      <c r="K177" s="16" t="s">
        <v>737</v>
      </c>
      <c r="L177" s="16" t="s">
        <v>7756</v>
      </c>
      <c r="M177" s="16" t="s">
        <v>7754</v>
      </c>
      <c r="N177" s="16" t="s">
        <v>17</v>
      </c>
      <c r="O177" s="16" t="s">
        <v>6921</v>
      </c>
      <c r="P177" s="16" t="s">
        <v>17</v>
      </c>
      <c r="Q177" s="16" t="s">
        <v>6922</v>
      </c>
      <c r="R177" s="16" t="s">
        <v>6923</v>
      </c>
      <c r="S177" s="16" t="s">
        <v>17</v>
      </c>
      <c r="T177" s="16" t="s">
        <v>7755</v>
      </c>
      <c r="U177" s="16" t="s">
        <v>17</v>
      </c>
      <c r="V177" s="16" t="s">
        <v>6929</v>
      </c>
      <c r="W177" s="16" t="s">
        <v>17</v>
      </c>
      <c r="X177" s="16" t="s">
        <v>7754</v>
      </c>
      <c r="Y177" s="16" t="s">
        <v>17</v>
      </c>
      <c r="Z177" s="16" t="s">
        <v>6926</v>
      </c>
    </row>
    <row r="178" spans="1:26" x14ac:dyDescent="0.3">
      <c r="A178" s="16">
        <v>177</v>
      </c>
      <c r="B178" s="16" t="s">
        <v>7634</v>
      </c>
      <c r="C178" s="17">
        <v>9780071489737</v>
      </c>
      <c r="D178" s="17">
        <v>9780071489737</v>
      </c>
      <c r="E178" s="16" t="s">
        <v>6920</v>
      </c>
      <c r="F178" s="16" t="s">
        <v>17</v>
      </c>
      <c r="G178" s="16" t="s">
        <v>17</v>
      </c>
      <c r="H178" s="16" t="s">
        <v>17</v>
      </c>
      <c r="I178" s="16" t="s">
        <v>17</v>
      </c>
      <c r="J178" s="16" t="s">
        <v>17</v>
      </c>
      <c r="K178" s="16" t="s">
        <v>628</v>
      </c>
      <c r="L178" s="16" t="s">
        <v>7635</v>
      </c>
      <c r="M178" s="16" t="s">
        <v>7634</v>
      </c>
      <c r="N178" s="16" t="s">
        <v>17</v>
      </c>
      <c r="O178" s="16" t="s">
        <v>6921</v>
      </c>
      <c r="P178" s="16" t="s">
        <v>17</v>
      </c>
      <c r="Q178" s="16" t="s">
        <v>6922</v>
      </c>
      <c r="R178" s="16" t="s">
        <v>6923</v>
      </c>
      <c r="S178" s="16" t="s">
        <v>17</v>
      </c>
      <c r="T178" s="16" t="s">
        <v>6920</v>
      </c>
      <c r="U178" s="16" t="s">
        <v>17</v>
      </c>
      <c r="V178" s="16" t="s">
        <v>6924</v>
      </c>
      <c r="W178" s="16" t="s">
        <v>17</v>
      </c>
      <c r="X178" s="16" t="s">
        <v>7634</v>
      </c>
      <c r="Y178" s="16" t="s">
        <v>17</v>
      </c>
      <c r="Z178" s="16" t="s">
        <v>6926</v>
      </c>
    </row>
    <row r="179" spans="1:26" x14ac:dyDescent="0.3">
      <c r="A179" s="16">
        <v>178</v>
      </c>
      <c r="B179" s="16" t="s">
        <v>7390</v>
      </c>
      <c r="C179" s="17">
        <v>9780071482431</v>
      </c>
      <c r="D179" s="17">
        <v>9780071482431</v>
      </c>
      <c r="E179" s="16" t="s">
        <v>6920</v>
      </c>
      <c r="F179" s="16" t="s">
        <v>17</v>
      </c>
      <c r="G179" s="16" t="s">
        <v>17</v>
      </c>
      <c r="H179" s="16" t="s">
        <v>17</v>
      </c>
      <c r="I179" s="16" t="s">
        <v>17</v>
      </c>
      <c r="J179" s="16" t="s">
        <v>17</v>
      </c>
      <c r="K179" s="16" t="s">
        <v>407</v>
      </c>
      <c r="L179" s="16" t="s">
        <v>7391</v>
      </c>
      <c r="M179" s="16" t="s">
        <v>7390</v>
      </c>
      <c r="N179" s="16" t="s">
        <v>17</v>
      </c>
      <c r="O179" s="16" t="s">
        <v>6921</v>
      </c>
      <c r="P179" s="16" t="s">
        <v>17</v>
      </c>
      <c r="Q179" s="16" t="s">
        <v>6922</v>
      </c>
      <c r="R179" s="16" t="s">
        <v>6923</v>
      </c>
      <c r="S179" s="16" t="s">
        <v>17</v>
      </c>
      <c r="T179" s="16" t="s">
        <v>6920</v>
      </c>
      <c r="U179" s="16" t="s">
        <v>17</v>
      </c>
      <c r="V179" s="16" t="s">
        <v>6929</v>
      </c>
      <c r="W179" s="16" t="s">
        <v>17</v>
      </c>
      <c r="X179" s="16" t="s">
        <v>7390</v>
      </c>
      <c r="Y179" s="16" t="s">
        <v>17</v>
      </c>
      <c r="Z179" s="16" t="s">
        <v>6926</v>
      </c>
    </row>
    <row r="180" spans="1:26" x14ac:dyDescent="0.3">
      <c r="A180" s="16">
        <v>179</v>
      </c>
      <c r="B180" s="16" t="s">
        <v>8100</v>
      </c>
      <c r="C180" s="17">
        <v>9781259587276</v>
      </c>
      <c r="D180" s="17">
        <v>9781259587276</v>
      </c>
      <c r="E180" s="16" t="s">
        <v>7673</v>
      </c>
      <c r="F180" s="16" t="s">
        <v>17</v>
      </c>
      <c r="G180" s="16" t="s">
        <v>17</v>
      </c>
      <c r="H180" s="16" t="s">
        <v>17</v>
      </c>
      <c r="I180" s="16" t="s">
        <v>17</v>
      </c>
      <c r="J180" s="16" t="s">
        <v>17</v>
      </c>
      <c r="K180" s="16" t="s">
        <v>1186</v>
      </c>
      <c r="L180" s="16" t="s">
        <v>8101</v>
      </c>
      <c r="M180" s="16" t="s">
        <v>8100</v>
      </c>
      <c r="N180" s="16" t="s">
        <v>17</v>
      </c>
      <c r="O180" s="16" t="s">
        <v>6921</v>
      </c>
      <c r="P180" s="16" t="s">
        <v>17</v>
      </c>
      <c r="Q180" s="16" t="s">
        <v>6922</v>
      </c>
      <c r="R180" s="16" t="s">
        <v>6923</v>
      </c>
      <c r="S180" s="16" t="s">
        <v>17</v>
      </c>
      <c r="T180" s="16" t="s">
        <v>7673</v>
      </c>
      <c r="U180" s="16" t="s">
        <v>17</v>
      </c>
      <c r="V180" s="16" t="s">
        <v>7027</v>
      </c>
      <c r="W180" s="16" t="s">
        <v>17</v>
      </c>
      <c r="X180" s="16" t="s">
        <v>8100</v>
      </c>
      <c r="Y180" s="16" t="s">
        <v>17</v>
      </c>
      <c r="Z180" s="16" t="s">
        <v>6926</v>
      </c>
    </row>
    <row r="181" spans="1:26" x14ac:dyDescent="0.3">
      <c r="A181" s="16">
        <v>180</v>
      </c>
      <c r="B181" s="16" t="s">
        <v>8348</v>
      </c>
      <c r="C181" s="17">
        <v>9780071636643</v>
      </c>
      <c r="D181" s="17">
        <v>9780071636643</v>
      </c>
      <c r="E181" s="16" t="s">
        <v>6920</v>
      </c>
      <c r="F181" s="16" t="s">
        <v>17</v>
      </c>
      <c r="G181" s="16" t="s">
        <v>17</v>
      </c>
      <c r="H181" s="16" t="s">
        <v>17</v>
      </c>
      <c r="I181" s="16" t="s">
        <v>17</v>
      </c>
      <c r="J181" s="16" t="s">
        <v>17</v>
      </c>
      <c r="K181" s="16" t="s">
        <v>1459</v>
      </c>
      <c r="L181" s="16" t="s">
        <v>1458</v>
      </c>
      <c r="M181" s="16" t="s">
        <v>8348</v>
      </c>
      <c r="N181" s="16" t="s">
        <v>17</v>
      </c>
      <c r="O181" s="16" t="s">
        <v>6921</v>
      </c>
      <c r="P181" s="16" t="s">
        <v>17</v>
      </c>
      <c r="Q181" s="16" t="s">
        <v>6922</v>
      </c>
      <c r="R181" s="16" t="s">
        <v>6923</v>
      </c>
      <c r="S181" s="16" t="s">
        <v>17</v>
      </c>
      <c r="T181" s="16" t="s">
        <v>6920</v>
      </c>
      <c r="U181" s="16" t="s">
        <v>17</v>
      </c>
      <c r="V181" s="16" t="s">
        <v>8057</v>
      </c>
      <c r="W181" s="16" t="s">
        <v>17</v>
      </c>
      <c r="X181" s="16" t="s">
        <v>8348</v>
      </c>
      <c r="Y181" s="16" t="s">
        <v>17</v>
      </c>
      <c r="Z181" s="16" t="s">
        <v>6926</v>
      </c>
    </row>
    <row r="182" spans="1:26" x14ac:dyDescent="0.3">
      <c r="A182" s="16">
        <v>181</v>
      </c>
      <c r="B182" s="16" t="s">
        <v>7113</v>
      </c>
      <c r="C182" s="17">
        <v>9780071625579</v>
      </c>
      <c r="D182" s="17">
        <v>9780071625579</v>
      </c>
      <c r="E182" s="16" t="s">
        <v>7114</v>
      </c>
      <c r="F182" s="16" t="s">
        <v>17</v>
      </c>
      <c r="G182" s="16" t="s">
        <v>17</v>
      </c>
      <c r="H182" s="16" t="s">
        <v>17</v>
      </c>
      <c r="I182" s="16" t="s">
        <v>17</v>
      </c>
      <c r="J182" s="16" t="s">
        <v>17</v>
      </c>
      <c r="K182" s="16" t="s">
        <v>176</v>
      </c>
      <c r="L182" s="16" t="s">
        <v>174</v>
      </c>
      <c r="M182" s="16" t="s">
        <v>7113</v>
      </c>
      <c r="N182" s="16" t="s">
        <v>17</v>
      </c>
      <c r="O182" s="16" t="s">
        <v>6921</v>
      </c>
      <c r="P182" s="16" t="s">
        <v>17</v>
      </c>
      <c r="Q182" s="16" t="s">
        <v>6922</v>
      </c>
      <c r="R182" s="16" t="s">
        <v>6923</v>
      </c>
      <c r="S182" s="16" t="s">
        <v>17</v>
      </c>
      <c r="T182" s="16" t="s">
        <v>7114</v>
      </c>
      <c r="U182" s="16" t="s">
        <v>17</v>
      </c>
      <c r="V182" s="16" t="s">
        <v>7024</v>
      </c>
      <c r="W182" s="16" t="s">
        <v>17</v>
      </c>
      <c r="X182" s="16" t="s">
        <v>7113</v>
      </c>
      <c r="Y182" s="16" t="s">
        <v>17</v>
      </c>
      <c r="Z182" s="16" t="s">
        <v>6926</v>
      </c>
    </row>
    <row r="183" spans="1:26" x14ac:dyDescent="0.3">
      <c r="A183" s="16">
        <v>182</v>
      </c>
      <c r="B183" s="16" t="s">
        <v>7814</v>
      </c>
      <c r="C183" s="17">
        <v>9781260461763</v>
      </c>
      <c r="D183" s="17">
        <v>9781260461763</v>
      </c>
      <c r="E183" s="16" t="s">
        <v>7469</v>
      </c>
      <c r="F183" s="16" t="s">
        <v>17</v>
      </c>
      <c r="G183" s="16" t="s">
        <v>17</v>
      </c>
      <c r="H183" s="16" t="s">
        <v>17</v>
      </c>
      <c r="I183" s="16" t="s">
        <v>17</v>
      </c>
      <c r="J183" s="16" t="s">
        <v>17</v>
      </c>
      <c r="K183" s="16" t="s">
        <v>790</v>
      </c>
      <c r="L183" s="16" t="s">
        <v>7815</v>
      </c>
      <c r="M183" s="16" t="s">
        <v>7814</v>
      </c>
      <c r="N183" s="16" t="s">
        <v>17</v>
      </c>
      <c r="O183" s="16" t="s">
        <v>6921</v>
      </c>
      <c r="P183" s="16" t="s">
        <v>17</v>
      </c>
      <c r="Q183" s="16" t="s">
        <v>6922</v>
      </c>
      <c r="R183" s="16" t="s">
        <v>6923</v>
      </c>
      <c r="S183" s="16" t="s">
        <v>17</v>
      </c>
      <c r="T183" s="16" t="s">
        <v>7469</v>
      </c>
      <c r="U183" s="16" t="s">
        <v>17</v>
      </c>
      <c r="V183" s="16" t="s">
        <v>6929</v>
      </c>
      <c r="W183" s="16" t="s">
        <v>17</v>
      </c>
      <c r="X183" s="16" t="s">
        <v>7814</v>
      </c>
      <c r="Y183" s="16" t="s">
        <v>17</v>
      </c>
      <c r="Z183" s="16" t="s">
        <v>6926</v>
      </c>
    </row>
    <row r="184" spans="1:26" x14ac:dyDescent="0.3">
      <c r="A184" s="16">
        <v>183</v>
      </c>
      <c r="B184" s="16" t="s">
        <v>7225</v>
      </c>
      <c r="C184" s="17">
        <v>9780071826853</v>
      </c>
      <c r="D184" s="17">
        <v>9780071826853</v>
      </c>
      <c r="E184" s="16" t="s">
        <v>7133</v>
      </c>
      <c r="F184" s="16" t="s">
        <v>17</v>
      </c>
      <c r="G184" s="16" t="s">
        <v>17</v>
      </c>
      <c r="H184" s="16" t="s">
        <v>17</v>
      </c>
      <c r="I184" s="16" t="s">
        <v>17</v>
      </c>
      <c r="J184" s="16" t="s">
        <v>17</v>
      </c>
      <c r="K184" s="16" t="s">
        <v>262</v>
      </c>
      <c r="L184" s="16" t="s">
        <v>261</v>
      </c>
      <c r="M184" s="16" t="s">
        <v>7225</v>
      </c>
      <c r="N184" s="16" t="s">
        <v>17</v>
      </c>
      <c r="O184" s="16" t="s">
        <v>6921</v>
      </c>
      <c r="P184" s="16" t="s">
        <v>17</v>
      </c>
      <c r="Q184" s="16" t="s">
        <v>6922</v>
      </c>
      <c r="R184" s="16" t="s">
        <v>6923</v>
      </c>
      <c r="S184" s="16" t="s">
        <v>17</v>
      </c>
      <c r="T184" s="16" t="s">
        <v>7133</v>
      </c>
      <c r="U184" s="16" t="s">
        <v>17</v>
      </c>
      <c r="V184" s="16" t="s">
        <v>6929</v>
      </c>
      <c r="W184" s="16" t="s">
        <v>17</v>
      </c>
      <c r="X184" s="16" t="s">
        <v>7225</v>
      </c>
      <c r="Y184" s="16" t="s">
        <v>17</v>
      </c>
      <c r="Z184" s="16" t="s">
        <v>6926</v>
      </c>
    </row>
    <row r="185" spans="1:26" x14ac:dyDescent="0.3">
      <c r="A185" s="16">
        <v>184</v>
      </c>
      <c r="B185" s="16" t="s">
        <v>7012</v>
      </c>
      <c r="C185" s="17">
        <v>9780071849234</v>
      </c>
      <c r="D185" s="17">
        <v>9780071849234</v>
      </c>
      <c r="E185" s="16" t="s">
        <v>6953</v>
      </c>
      <c r="F185" s="16" t="s">
        <v>17</v>
      </c>
      <c r="G185" s="16" t="s">
        <v>17</v>
      </c>
      <c r="H185" s="16" t="s">
        <v>17</v>
      </c>
      <c r="I185" s="16" t="s">
        <v>17</v>
      </c>
      <c r="J185" s="16" t="s">
        <v>17</v>
      </c>
      <c r="K185" s="16" t="s">
        <v>81</v>
      </c>
      <c r="L185" s="16" t="s">
        <v>7013</v>
      </c>
      <c r="M185" s="16" t="s">
        <v>7012</v>
      </c>
      <c r="N185" s="16" t="s">
        <v>17</v>
      </c>
      <c r="O185" s="16" t="s">
        <v>6921</v>
      </c>
      <c r="P185" s="16" t="s">
        <v>17</v>
      </c>
      <c r="Q185" s="16" t="s">
        <v>6922</v>
      </c>
      <c r="R185" s="16" t="s">
        <v>6923</v>
      </c>
      <c r="S185" s="16" t="s">
        <v>17</v>
      </c>
      <c r="T185" s="16" t="s">
        <v>6953</v>
      </c>
      <c r="U185" s="16" t="s">
        <v>17</v>
      </c>
      <c r="V185" s="16" t="s">
        <v>6929</v>
      </c>
      <c r="W185" s="16" t="s">
        <v>17</v>
      </c>
      <c r="X185" s="16" t="s">
        <v>7012</v>
      </c>
      <c r="Y185" s="16" t="s">
        <v>17</v>
      </c>
      <c r="Z185" s="16" t="s">
        <v>6926</v>
      </c>
    </row>
    <row r="186" spans="1:26" x14ac:dyDescent="0.3">
      <c r="A186" s="16">
        <v>185</v>
      </c>
      <c r="B186" s="16" t="s">
        <v>8151</v>
      </c>
      <c r="C186" s="17">
        <v>9781260117998</v>
      </c>
      <c r="D186" s="17">
        <v>9781260117998</v>
      </c>
      <c r="E186" s="16" t="s">
        <v>8152</v>
      </c>
      <c r="F186" s="16" t="s">
        <v>17</v>
      </c>
      <c r="G186" s="16" t="s">
        <v>17</v>
      </c>
      <c r="H186" s="16" t="s">
        <v>17</v>
      </c>
      <c r="I186" s="16" t="s">
        <v>17</v>
      </c>
      <c r="J186" s="16" t="s">
        <v>17</v>
      </c>
      <c r="K186" s="16" t="s">
        <v>1239</v>
      </c>
      <c r="L186" s="16" t="s">
        <v>17</v>
      </c>
      <c r="M186" s="16" t="s">
        <v>8151</v>
      </c>
      <c r="N186" s="16" t="s">
        <v>17</v>
      </c>
      <c r="O186" s="16" t="s">
        <v>6921</v>
      </c>
      <c r="P186" s="16" t="s">
        <v>17</v>
      </c>
      <c r="Q186" s="16" t="s">
        <v>6922</v>
      </c>
      <c r="R186" s="16" t="s">
        <v>6923</v>
      </c>
      <c r="S186" s="16" t="s">
        <v>17</v>
      </c>
      <c r="T186" s="16" t="s">
        <v>8152</v>
      </c>
      <c r="U186" s="16" t="s">
        <v>17</v>
      </c>
      <c r="V186" s="16" t="s">
        <v>6929</v>
      </c>
      <c r="W186" s="16" t="s">
        <v>846</v>
      </c>
      <c r="X186" s="16" t="s">
        <v>8151</v>
      </c>
      <c r="Y186" s="16" t="s">
        <v>17</v>
      </c>
      <c r="Z186" s="16" t="s">
        <v>6926</v>
      </c>
    </row>
    <row r="187" spans="1:26" x14ac:dyDescent="0.3">
      <c r="A187" s="16">
        <v>186</v>
      </c>
      <c r="B187" s="16" t="s">
        <v>7347</v>
      </c>
      <c r="C187" s="17">
        <v>9780071771320</v>
      </c>
      <c r="D187" s="17">
        <v>9780071771320</v>
      </c>
      <c r="E187" s="16" t="s">
        <v>7057</v>
      </c>
      <c r="F187" s="16" t="s">
        <v>17</v>
      </c>
      <c r="G187" s="16" t="s">
        <v>17</v>
      </c>
      <c r="H187" s="16" t="s">
        <v>17</v>
      </c>
      <c r="I187" s="16" t="s">
        <v>17</v>
      </c>
      <c r="J187" s="16" t="s">
        <v>17</v>
      </c>
      <c r="K187" s="16" t="s">
        <v>368</v>
      </c>
      <c r="L187" s="16" t="s">
        <v>367</v>
      </c>
      <c r="M187" s="16" t="s">
        <v>7347</v>
      </c>
      <c r="N187" s="16" t="s">
        <v>17</v>
      </c>
      <c r="O187" s="16" t="s">
        <v>6921</v>
      </c>
      <c r="P187" s="16" t="s">
        <v>17</v>
      </c>
      <c r="Q187" s="16" t="s">
        <v>6922</v>
      </c>
      <c r="R187" s="16" t="s">
        <v>6923</v>
      </c>
      <c r="S187" s="16" t="s">
        <v>17</v>
      </c>
      <c r="T187" s="16" t="s">
        <v>7057</v>
      </c>
      <c r="U187" s="16" t="s">
        <v>17</v>
      </c>
      <c r="V187" s="16" t="s">
        <v>6924</v>
      </c>
      <c r="W187" s="16" t="s">
        <v>17</v>
      </c>
      <c r="X187" s="16" t="s">
        <v>7347</v>
      </c>
      <c r="Y187" s="16" t="s">
        <v>17</v>
      </c>
      <c r="Z187" s="16" t="s">
        <v>6926</v>
      </c>
    </row>
    <row r="188" spans="1:26" x14ac:dyDescent="0.3">
      <c r="A188" s="16">
        <v>187</v>
      </c>
      <c r="B188" s="16" t="s">
        <v>7592</v>
      </c>
      <c r="C188" s="17">
        <v>9781260474183</v>
      </c>
      <c r="D188" s="17">
        <v>9781260474183</v>
      </c>
      <c r="E188" s="16" t="s">
        <v>7593</v>
      </c>
      <c r="F188" s="16" t="s">
        <v>17</v>
      </c>
      <c r="G188" s="16" t="s">
        <v>17</v>
      </c>
      <c r="H188" s="16" t="s">
        <v>17</v>
      </c>
      <c r="I188" s="16" t="s">
        <v>17</v>
      </c>
      <c r="J188" s="16" t="s">
        <v>17</v>
      </c>
      <c r="K188" s="16" t="s">
        <v>585</v>
      </c>
      <c r="L188" s="16" t="s">
        <v>584</v>
      </c>
      <c r="M188" s="16" t="s">
        <v>7592</v>
      </c>
      <c r="N188" s="16" t="s">
        <v>17</v>
      </c>
      <c r="O188" s="16" t="s">
        <v>6921</v>
      </c>
      <c r="P188" s="16" t="s">
        <v>17</v>
      </c>
      <c r="Q188" s="16" t="s">
        <v>6922</v>
      </c>
      <c r="R188" s="16" t="s">
        <v>6923</v>
      </c>
      <c r="S188" s="16" t="s">
        <v>17</v>
      </c>
      <c r="T188" s="16" t="s">
        <v>7593</v>
      </c>
      <c r="U188" s="16" t="s">
        <v>17</v>
      </c>
      <c r="V188" s="16" t="s">
        <v>6949</v>
      </c>
      <c r="W188" s="16" t="s">
        <v>17</v>
      </c>
      <c r="X188" s="16" t="s">
        <v>7592</v>
      </c>
      <c r="Y188" s="16" t="s">
        <v>17</v>
      </c>
      <c r="Z188" s="16" t="s">
        <v>6926</v>
      </c>
    </row>
    <row r="189" spans="1:26" x14ac:dyDescent="0.3">
      <c r="A189" s="16">
        <v>188</v>
      </c>
      <c r="B189" s="16" t="s">
        <v>7058</v>
      </c>
      <c r="C189" s="17">
        <v>9780073250328</v>
      </c>
      <c r="D189" s="17">
        <v>9780073250328</v>
      </c>
      <c r="E189" s="16" t="s">
        <v>6920</v>
      </c>
      <c r="F189" s="16" t="s">
        <v>17</v>
      </c>
      <c r="G189" s="16" t="s">
        <v>17</v>
      </c>
      <c r="H189" s="16" t="s">
        <v>17</v>
      </c>
      <c r="I189" s="16" t="s">
        <v>17</v>
      </c>
      <c r="J189" s="16" t="s">
        <v>17</v>
      </c>
      <c r="K189" s="16" t="s">
        <v>120</v>
      </c>
      <c r="L189" s="16" t="s">
        <v>7059</v>
      </c>
      <c r="M189" s="16" t="s">
        <v>7058</v>
      </c>
      <c r="N189" s="16" t="s">
        <v>17</v>
      </c>
      <c r="O189" s="16" t="s">
        <v>6921</v>
      </c>
      <c r="P189" s="16" t="s">
        <v>17</v>
      </c>
      <c r="Q189" s="16" t="s">
        <v>6922</v>
      </c>
      <c r="R189" s="16" t="s">
        <v>6923</v>
      </c>
      <c r="S189" s="16" t="s">
        <v>17</v>
      </c>
      <c r="T189" s="16" t="s">
        <v>6920</v>
      </c>
      <c r="U189" s="16" t="s">
        <v>17</v>
      </c>
      <c r="V189" s="16" t="s">
        <v>7024</v>
      </c>
      <c r="W189" s="16" t="s">
        <v>17</v>
      </c>
      <c r="X189" s="16" t="s">
        <v>7058</v>
      </c>
      <c r="Y189" s="16" t="s">
        <v>17</v>
      </c>
      <c r="Z189" s="16" t="s">
        <v>6926</v>
      </c>
    </row>
    <row r="190" spans="1:26" x14ac:dyDescent="0.3">
      <c r="A190" s="16">
        <v>189</v>
      </c>
      <c r="B190" s="16" t="s">
        <v>7029</v>
      </c>
      <c r="C190" s="17">
        <v>9780071410601</v>
      </c>
      <c r="D190" s="17">
        <v>9780071410601</v>
      </c>
      <c r="E190" s="16" t="s">
        <v>6920</v>
      </c>
      <c r="F190" s="16" t="s">
        <v>17</v>
      </c>
      <c r="G190" s="16" t="s">
        <v>17</v>
      </c>
      <c r="H190" s="16" t="s">
        <v>17</v>
      </c>
      <c r="I190" s="16" t="s">
        <v>17</v>
      </c>
      <c r="J190" s="16" t="s">
        <v>17</v>
      </c>
      <c r="K190" s="16" t="s">
        <v>96</v>
      </c>
      <c r="L190" s="16" t="s">
        <v>94</v>
      </c>
      <c r="M190" s="16" t="s">
        <v>7029</v>
      </c>
      <c r="N190" s="16" t="s">
        <v>17</v>
      </c>
      <c r="O190" s="16" t="s">
        <v>6921</v>
      </c>
      <c r="P190" s="16" t="s">
        <v>17</v>
      </c>
      <c r="Q190" s="16" t="s">
        <v>6922</v>
      </c>
      <c r="R190" s="16" t="s">
        <v>6923</v>
      </c>
      <c r="S190" s="16" t="s">
        <v>17</v>
      </c>
      <c r="T190" s="16" t="s">
        <v>6920</v>
      </c>
      <c r="U190" s="16" t="s">
        <v>17</v>
      </c>
      <c r="V190" s="16" t="s">
        <v>6924</v>
      </c>
      <c r="W190" s="16" t="s">
        <v>17</v>
      </c>
      <c r="X190" s="16" t="s">
        <v>7029</v>
      </c>
      <c r="Y190" s="16" t="s">
        <v>17</v>
      </c>
      <c r="Z190" s="16" t="s">
        <v>6926</v>
      </c>
    </row>
    <row r="191" spans="1:26" x14ac:dyDescent="0.3">
      <c r="A191" s="16">
        <v>190</v>
      </c>
      <c r="B191" s="16" t="s">
        <v>7893</v>
      </c>
      <c r="C191" s="17">
        <v>9780071796095</v>
      </c>
      <c r="D191" s="17">
        <v>9780071796095</v>
      </c>
      <c r="E191" s="16" t="s">
        <v>7263</v>
      </c>
      <c r="F191" s="16" t="s">
        <v>17</v>
      </c>
      <c r="G191" s="16" t="s">
        <v>17</v>
      </c>
      <c r="H191" s="16" t="s">
        <v>17</v>
      </c>
      <c r="I191" s="16" t="s">
        <v>17</v>
      </c>
      <c r="J191" s="16" t="s">
        <v>17</v>
      </c>
      <c r="K191" s="16" t="s">
        <v>895</v>
      </c>
      <c r="L191" s="16" t="s">
        <v>7894</v>
      </c>
      <c r="M191" s="16" t="s">
        <v>7893</v>
      </c>
      <c r="N191" s="16" t="s">
        <v>17</v>
      </c>
      <c r="O191" s="16" t="s">
        <v>6921</v>
      </c>
      <c r="P191" s="16" t="s">
        <v>17</v>
      </c>
      <c r="Q191" s="16" t="s">
        <v>6922</v>
      </c>
      <c r="R191" s="16" t="s">
        <v>6923</v>
      </c>
      <c r="S191" s="16" t="s">
        <v>17</v>
      </c>
      <c r="T191" s="16" t="s">
        <v>7263</v>
      </c>
      <c r="U191" s="16" t="s">
        <v>17</v>
      </c>
      <c r="V191" s="16" t="s">
        <v>6929</v>
      </c>
      <c r="W191" s="16" t="s">
        <v>17</v>
      </c>
      <c r="X191" s="16" t="s">
        <v>7893</v>
      </c>
      <c r="Y191" s="16" t="s">
        <v>17</v>
      </c>
      <c r="Z191" s="16" t="s">
        <v>6926</v>
      </c>
    </row>
    <row r="192" spans="1:26" x14ac:dyDescent="0.3">
      <c r="A192" s="16">
        <v>191</v>
      </c>
      <c r="B192" s="16" t="s">
        <v>8417</v>
      </c>
      <c r="C192" s="17">
        <v>9780071777155</v>
      </c>
      <c r="D192" s="17">
        <v>9780071777155</v>
      </c>
      <c r="E192" s="16" t="s">
        <v>8418</v>
      </c>
      <c r="F192" s="16" t="s">
        <v>17</v>
      </c>
      <c r="G192" s="16" t="s">
        <v>17</v>
      </c>
      <c r="H192" s="16" t="s">
        <v>17</v>
      </c>
      <c r="I192" s="16" t="s">
        <v>17</v>
      </c>
      <c r="J192" s="16" t="s">
        <v>17</v>
      </c>
      <c r="K192" s="16" t="s">
        <v>1610</v>
      </c>
      <c r="L192" s="16" t="s">
        <v>1609</v>
      </c>
      <c r="M192" s="16" t="s">
        <v>8417</v>
      </c>
      <c r="N192" s="16" t="s">
        <v>17</v>
      </c>
      <c r="O192" s="16" t="s">
        <v>6921</v>
      </c>
      <c r="P192" s="16" t="s">
        <v>17</v>
      </c>
      <c r="Q192" s="16" t="s">
        <v>6922</v>
      </c>
      <c r="R192" s="16" t="s">
        <v>6923</v>
      </c>
      <c r="S192" s="16" t="s">
        <v>17</v>
      </c>
      <c r="T192" s="16" t="s">
        <v>8418</v>
      </c>
      <c r="U192" s="16" t="s">
        <v>17</v>
      </c>
      <c r="V192" s="16" t="s">
        <v>6929</v>
      </c>
      <c r="W192" s="16" t="s">
        <v>17</v>
      </c>
      <c r="X192" s="16" t="s">
        <v>8417</v>
      </c>
      <c r="Y192" s="16" t="s">
        <v>17</v>
      </c>
      <c r="Z192" s="16" t="s">
        <v>6926</v>
      </c>
    </row>
    <row r="193" spans="1:26" x14ac:dyDescent="0.3">
      <c r="A193" s="16">
        <v>192</v>
      </c>
      <c r="B193" s="16" t="s">
        <v>7996</v>
      </c>
      <c r="C193" s="17">
        <v>9781259587450</v>
      </c>
      <c r="D193" s="17">
        <v>9781259587450</v>
      </c>
      <c r="E193" s="16" t="s">
        <v>7863</v>
      </c>
      <c r="F193" s="16" t="s">
        <v>17</v>
      </c>
      <c r="G193" s="16" t="s">
        <v>17</v>
      </c>
      <c r="H193" s="16" t="s">
        <v>17</v>
      </c>
      <c r="I193" s="16" t="s">
        <v>17</v>
      </c>
      <c r="J193" s="16" t="s">
        <v>17</v>
      </c>
      <c r="K193" s="16" t="s">
        <v>1049</v>
      </c>
      <c r="L193" s="16" t="s">
        <v>17</v>
      </c>
      <c r="M193" s="16" t="s">
        <v>7996</v>
      </c>
      <c r="N193" s="16" t="s">
        <v>17</v>
      </c>
      <c r="O193" s="16" t="s">
        <v>6921</v>
      </c>
      <c r="P193" s="16" t="s">
        <v>17</v>
      </c>
      <c r="Q193" s="16" t="s">
        <v>6922</v>
      </c>
      <c r="R193" s="16" t="s">
        <v>6923</v>
      </c>
      <c r="S193" s="16" t="s">
        <v>17</v>
      </c>
      <c r="T193" s="16" t="s">
        <v>7863</v>
      </c>
      <c r="U193" s="16" t="s">
        <v>17</v>
      </c>
      <c r="V193" s="16" t="s">
        <v>6929</v>
      </c>
      <c r="W193" s="16" t="s">
        <v>7997</v>
      </c>
      <c r="X193" s="16" t="s">
        <v>7996</v>
      </c>
      <c r="Y193" s="16" t="s">
        <v>17</v>
      </c>
      <c r="Z193" s="16" t="s">
        <v>6926</v>
      </c>
    </row>
    <row r="194" spans="1:26" x14ac:dyDescent="0.3">
      <c r="A194" s="16">
        <v>193</v>
      </c>
      <c r="B194" s="16" t="s">
        <v>6973</v>
      </c>
      <c r="C194" s="17">
        <v>9780071605564</v>
      </c>
      <c r="D194" s="17">
        <v>9780071605564</v>
      </c>
      <c r="E194" s="16" t="s">
        <v>6920</v>
      </c>
      <c r="F194" s="16" t="s">
        <v>17</v>
      </c>
      <c r="G194" s="16" t="s">
        <v>17</v>
      </c>
      <c r="H194" s="16" t="s">
        <v>17</v>
      </c>
      <c r="I194" s="16" t="s">
        <v>17</v>
      </c>
      <c r="J194" s="16" t="s">
        <v>17</v>
      </c>
      <c r="K194" s="16" t="s">
        <v>51</v>
      </c>
      <c r="L194" s="16" t="s">
        <v>50</v>
      </c>
      <c r="M194" s="16" t="s">
        <v>6973</v>
      </c>
      <c r="N194" s="16" t="s">
        <v>17</v>
      </c>
      <c r="O194" s="16" t="s">
        <v>6921</v>
      </c>
      <c r="P194" s="16" t="s">
        <v>17</v>
      </c>
      <c r="Q194" s="16" t="s">
        <v>6922</v>
      </c>
      <c r="R194" s="16" t="s">
        <v>6923</v>
      </c>
      <c r="S194" s="16" t="s">
        <v>17</v>
      </c>
      <c r="T194" s="16" t="s">
        <v>6920</v>
      </c>
      <c r="U194" s="16" t="s">
        <v>17</v>
      </c>
      <c r="V194" s="16" t="s">
        <v>6924</v>
      </c>
      <c r="W194" s="16" t="s">
        <v>17</v>
      </c>
      <c r="X194" s="16" t="s">
        <v>6973</v>
      </c>
      <c r="Y194" s="16" t="s">
        <v>17</v>
      </c>
      <c r="Z194" s="16" t="s">
        <v>6926</v>
      </c>
    </row>
    <row r="195" spans="1:26" x14ac:dyDescent="0.3">
      <c r="A195" s="16">
        <v>194</v>
      </c>
      <c r="B195" s="16" t="s">
        <v>6919</v>
      </c>
      <c r="C195" s="17">
        <v>9780070071391</v>
      </c>
      <c r="D195" s="17">
        <v>9780070071391</v>
      </c>
      <c r="E195" s="16" t="s">
        <v>6920</v>
      </c>
      <c r="F195" s="16" t="s">
        <v>17</v>
      </c>
      <c r="G195" s="16" t="s">
        <v>17</v>
      </c>
      <c r="H195" s="16" t="s">
        <v>17</v>
      </c>
      <c r="I195" s="16" t="s">
        <v>17</v>
      </c>
      <c r="J195" s="16" t="s">
        <v>17</v>
      </c>
      <c r="K195" s="16" t="s">
        <v>16</v>
      </c>
      <c r="L195" s="16" t="s">
        <v>17</v>
      </c>
      <c r="M195" s="16" t="s">
        <v>6919</v>
      </c>
      <c r="N195" s="16" t="s">
        <v>17</v>
      </c>
      <c r="O195" s="16" t="s">
        <v>6921</v>
      </c>
      <c r="P195" s="16" t="s">
        <v>17</v>
      </c>
      <c r="Q195" s="16" t="s">
        <v>6922</v>
      </c>
      <c r="R195" s="16" t="s">
        <v>6923</v>
      </c>
      <c r="S195" s="16" t="s">
        <v>17</v>
      </c>
      <c r="T195" s="16" t="s">
        <v>6920</v>
      </c>
      <c r="U195" s="16" t="s">
        <v>17</v>
      </c>
      <c r="V195" s="16" t="s">
        <v>6924</v>
      </c>
      <c r="W195" s="16" t="s">
        <v>6925</v>
      </c>
      <c r="X195" s="16" t="s">
        <v>6919</v>
      </c>
      <c r="Y195" s="16" t="s">
        <v>17</v>
      </c>
      <c r="Z195" s="16" t="s">
        <v>6926</v>
      </c>
    </row>
    <row r="196" spans="1:26" x14ac:dyDescent="0.3">
      <c r="A196" s="16">
        <v>195</v>
      </c>
      <c r="B196" s="16" t="s">
        <v>7608</v>
      </c>
      <c r="C196" s="17">
        <v>9780071445559</v>
      </c>
      <c r="D196" s="17">
        <v>9780071445559</v>
      </c>
      <c r="E196" s="16" t="s">
        <v>6920</v>
      </c>
      <c r="F196" s="16" t="s">
        <v>17</v>
      </c>
      <c r="G196" s="16" t="s">
        <v>17</v>
      </c>
      <c r="H196" s="16" t="s">
        <v>17</v>
      </c>
      <c r="I196" s="16" t="s">
        <v>17</v>
      </c>
      <c r="J196" s="16" t="s">
        <v>17</v>
      </c>
      <c r="K196" s="16" t="s">
        <v>602</v>
      </c>
      <c r="L196" s="16" t="s">
        <v>535</v>
      </c>
      <c r="M196" s="16" t="s">
        <v>7608</v>
      </c>
      <c r="N196" s="16" t="s">
        <v>17</v>
      </c>
      <c r="O196" s="16" t="s">
        <v>6921</v>
      </c>
      <c r="P196" s="16" t="s">
        <v>17</v>
      </c>
      <c r="Q196" s="16" t="s">
        <v>6922</v>
      </c>
      <c r="R196" s="16" t="s">
        <v>6923</v>
      </c>
      <c r="S196" s="16" t="s">
        <v>17</v>
      </c>
      <c r="T196" s="16" t="s">
        <v>6920</v>
      </c>
      <c r="U196" s="16" t="s">
        <v>17</v>
      </c>
      <c r="V196" s="16" t="s">
        <v>6929</v>
      </c>
      <c r="W196" s="16" t="s">
        <v>17</v>
      </c>
      <c r="X196" s="16" t="s">
        <v>7608</v>
      </c>
      <c r="Y196" s="16" t="s">
        <v>17</v>
      </c>
      <c r="Z196" s="16" t="s">
        <v>6926</v>
      </c>
    </row>
    <row r="197" spans="1:26" x14ac:dyDescent="0.3">
      <c r="A197" s="16">
        <v>196</v>
      </c>
      <c r="B197" s="16" t="s">
        <v>7545</v>
      </c>
      <c r="C197" s="17">
        <v>9780071547673</v>
      </c>
      <c r="D197" s="17">
        <v>9780071547673</v>
      </c>
      <c r="E197" s="16" t="s">
        <v>6920</v>
      </c>
      <c r="F197" s="16" t="s">
        <v>17</v>
      </c>
      <c r="G197" s="16" t="s">
        <v>17</v>
      </c>
      <c r="H197" s="16" t="s">
        <v>17</v>
      </c>
      <c r="I197" s="16" t="s">
        <v>17</v>
      </c>
      <c r="J197" s="16" t="s">
        <v>17</v>
      </c>
      <c r="K197" s="16" t="s">
        <v>536</v>
      </c>
      <c r="L197" s="16" t="s">
        <v>535</v>
      </c>
      <c r="M197" s="16" t="s">
        <v>7545</v>
      </c>
      <c r="N197" s="16" t="s">
        <v>17</v>
      </c>
      <c r="O197" s="16" t="s">
        <v>6921</v>
      </c>
      <c r="P197" s="16" t="s">
        <v>17</v>
      </c>
      <c r="Q197" s="16" t="s">
        <v>6922</v>
      </c>
      <c r="R197" s="16" t="s">
        <v>6923</v>
      </c>
      <c r="S197" s="16" t="s">
        <v>17</v>
      </c>
      <c r="T197" s="16" t="s">
        <v>6920</v>
      </c>
      <c r="U197" s="16" t="s">
        <v>17</v>
      </c>
      <c r="V197" s="16" t="s">
        <v>6924</v>
      </c>
      <c r="W197" s="16" t="s">
        <v>17</v>
      </c>
      <c r="X197" s="16" t="s">
        <v>7545</v>
      </c>
      <c r="Y197" s="16" t="s">
        <v>17</v>
      </c>
      <c r="Z197" s="16" t="s">
        <v>6926</v>
      </c>
    </row>
    <row r="198" spans="1:26" x14ac:dyDescent="0.3">
      <c r="A198" s="16">
        <v>197</v>
      </c>
      <c r="B198" s="16" t="s">
        <v>7082</v>
      </c>
      <c r="C198" s="17">
        <v>9780071823128</v>
      </c>
      <c r="D198" s="17">
        <v>9780071823128</v>
      </c>
      <c r="E198" s="16" t="s">
        <v>7083</v>
      </c>
      <c r="F198" s="16" t="s">
        <v>17</v>
      </c>
      <c r="G198" s="16" t="s">
        <v>17</v>
      </c>
      <c r="H198" s="16" t="s">
        <v>17</v>
      </c>
      <c r="I198" s="16" t="s">
        <v>17</v>
      </c>
      <c r="J198" s="16" t="s">
        <v>17</v>
      </c>
      <c r="K198" s="16" t="s">
        <v>146</v>
      </c>
      <c r="L198" s="16" t="s">
        <v>7084</v>
      </c>
      <c r="M198" s="16" t="s">
        <v>7082</v>
      </c>
      <c r="N198" s="16" t="s">
        <v>17</v>
      </c>
      <c r="O198" s="16" t="s">
        <v>6921</v>
      </c>
      <c r="P198" s="16" t="s">
        <v>17</v>
      </c>
      <c r="Q198" s="16" t="s">
        <v>6922</v>
      </c>
      <c r="R198" s="16" t="s">
        <v>6923</v>
      </c>
      <c r="S198" s="16" t="s">
        <v>17</v>
      </c>
      <c r="T198" s="16" t="s">
        <v>7083</v>
      </c>
      <c r="U198" s="16" t="s">
        <v>17</v>
      </c>
      <c r="V198" s="16" t="s">
        <v>6929</v>
      </c>
      <c r="W198" s="16" t="s">
        <v>17</v>
      </c>
      <c r="X198" s="16" t="s">
        <v>7082</v>
      </c>
      <c r="Y198" s="16" t="s">
        <v>17</v>
      </c>
      <c r="Z198" s="16" t="s">
        <v>6926</v>
      </c>
    </row>
    <row r="199" spans="1:26" x14ac:dyDescent="0.3">
      <c r="A199" s="16">
        <v>198</v>
      </c>
      <c r="B199" s="16" t="s">
        <v>7940</v>
      </c>
      <c r="C199" s="17">
        <v>9780071663588</v>
      </c>
      <c r="D199" s="17">
        <v>9780071663588</v>
      </c>
      <c r="E199" s="16" t="s">
        <v>6920</v>
      </c>
      <c r="F199" s="16" t="s">
        <v>17</v>
      </c>
      <c r="G199" s="16" t="s">
        <v>17</v>
      </c>
      <c r="H199" s="16" t="s">
        <v>17</v>
      </c>
      <c r="I199" s="16" t="s">
        <v>17</v>
      </c>
      <c r="J199" s="16" t="s">
        <v>17</v>
      </c>
      <c r="K199" s="16" t="s">
        <v>963</v>
      </c>
      <c r="L199" s="16" t="s">
        <v>187</v>
      </c>
      <c r="M199" s="16" t="s">
        <v>7940</v>
      </c>
      <c r="N199" s="16" t="s">
        <v>17</v>
      </c>
      <c r="O199" s="16" t="s">
        <v>6921</v>
      </c>
      <c r="P199" s="16" t="s">
        <v>17</v>
      </c>
      <c r="Q199" s="16" t="s">
        <v>6922</v>
      </c>
      <c r="R199" s="16" t="s">
        <v>6923</v>
      </c>
      <c r="S199" s="16" t="s">
        <v>17</v>
      </c>
      <c r="T199" s="16" t="s">
        <v>6920</v>
      </c>
      <c r="U199" s="16" t="s">
        <v>17</v>
      </c>
      <c r="V199" s="16" t="s">
        <v>7320</v>
      </c>
      <c r="W199" s="16" t="s">
        <v>17</v>
      </c>
      <c r="X199" s="16" t="s">
        <v>7940</v>
      </c>
      <c r="Y199" s="16" t="s">
        <v>17</v>
      </c>
      <c r="Z199" s="16" t="s">
        <v>6926</v>
      </c>
    </row>
    <row r="200" spans="1:26" x14ac:dyDescent="0.3">
      <c r="A200" s="16">
        <v>199</v>
      </c>
      <c r="B200" s="16" t="s">
        <v>7564</v>
      </c>
      <c r="C200" s="17">
        <v>9780071475556</v>
      </c>
      <c r="D200" s="17">
        <v>9780071475556</v>
      </c>
      <c r="E200" s="16" t="s">
        <v>7124</v>
      </c>
      <c r="F200" s="16" t="s">
        <v>17</v>
      </c>
      <c r="G200" s="16" t="s">
        <v>17</v>
      </c>
      <c r="H200" s="16" t="s">
        <v>17</v>
      </c>
      <c r="I200" s="16" t="s">
        <v>17</v>
      </c>
      <c r="J200" s="16" t="s">
        <v>17</v>
      </c>
      <c r="K200" s="16" t="s">
        <v>554</v>
      </c>
      <c r="L200" s="16" t="s">
        <v>553</v>
      </c>
      <c r="M200" s="16" t="s">
        <v>7564</v>
      </c>
      <c r="N200" s="16" t="s">
        <v>17</v>
      </c>
      <c r="O200" s="16" t="s">
        <v>6921</v>
      </c>
      <c r="P200" s="16" t="s">
        <v>17</v>
      </c>
      <c r="Q200" s="16" t="s">
        <v>6922</v>
      </c>
      <c r="R200" s="16" t="s">
        <v>6923</v>
      </c>
      <c r="S200" s="16" t="s">
        <v>17</v>
      </c>
      <c r="T200" s="16" t="s">
        <v>7124</v>
      </c>
      <c r="U200" s="16" t="s">
        <v>17</v>
      </c>
      <c r="V200" s="16" t="s">
        <v>6924</v>
      </c>
      <c r="W200" s="16" t="s">
        <v>17</v>
      </c>
      <c r="X200" s="16" t="s">
        <v>7564</v>
      </c>
      <c r="Y200" s="16" t="s">
        <v>17</v>
      </c>
      <c r="Z200" s="16" t="s">
        <v>6926</v>
      </c>
    </row>
    <row r="201" spans="1:26" x14ac:dyDescent="0.3">
      <c r="A201" s="16">
        <v>200</v>
      </c>
      <c r="B201" s="16" t="s">
        <v>7802</v>
      </c>
      <c r="C201" s="17">
        <v>9781260463095</v>
      </c>
      <c r="D201" s="17">
        <v>9781260463095</v>
      </c>
      <c r="E201" s="16" t="s">
        <v>7803</v>
      </c>
      <c r="F201" s="16" t="s">
        <v>17</v>
      </c>
      <c r="G201" s="16" t="s">
        <v>17</v>
      </c>
      <c r="H201" s="16" t="s">
        <v>17</v>
      </c>
      <c r="I201" s="16" t="s">
        <v>17</v>
      </c>
      <c r="J201" s="16" t="s">
        <v>17</v>
      </c>
      <c r="K201" s="16" t="s">
        <v>777</v>
      </c>
      <c r="L201" s="16" t="s">
        <v>776</v>
      </c>
      <c r="M201" s="16" t="s">
        <v>7802</v>
      </c>
      <c r="N201" s="16" t="s">
        <v>17</v>
      </c>
      <c r="O201" s="16" t="s">
        <v>6921</v>
      </c>
      <c r="P201" s="16" t="s">
        <v>17</v>
      </c>
      <c r="Q201" s="16" t="s">
        <v>6922</v>
      </c>
      <c r="R201" s="16" t="s">
        <v>6923</v>
      </c>
      <c r="S201" s="16" t="s">
        <v>17</v>
      </c>
      <c r="T201" s="16" t="s">
        <v>7803</v>
      </c>
      <c r="U201" s="16" t="s">
        <v>17</v>
      </c>
      <c r="V201" s="16" t="s">
        <v>6929</v>
      </c>
      <c r="W201" s="16" t="s">
        <v>17</v>
      </c>
      <c r="X201" s="16" t="s">
        <v>7802</v>
      </c>
      <c r="Y201" s="16" t="s">
        <v>17</v>
      </c>
      <c r="Z201" s="16" t="s">
        <v>6926</v>
      </c>
    </row>
    <row r="202" spans="1:26" x14ac:dyDescent="0.3">
      <c r="A202" s="16">
        <v>201</v>
      </c>
      <c r="B202" s="16" t="s">
        <v>5129</v>
      </c>
      <c r="C202" s="17">
        <v>9781260452334</v>
      </c>
      <c r="D202" s="17">
        <v>9781260452334</v>
      </c>
      <c r="E202" s="16" t="s">
        <v>7984</v>
      </c>
      <c r="F202" s="16" t="s">
        <v>17</v>
      </c>
      <c r="G202" s="16" t="s">
        <v>17</v>
      </c>
      <c r="H202" s="16" t="s">
        <v>17</v>
      </c>
      <c r="I202" s="16" t="s">
        <v>17</v>
      </c>
      <c r="J202" s="16" t="s">
        <v>17</v>
      </c>
      <c r="K202" s="16" t="s">
        <v>1312</v>
      </c>
      <c r="L202" s="16" t="s">
        <v>1311</v>
      </c>
      <c r="M202" s="16" t="s">
        <v>5129</v>
      </c>
      <c r="N202" s="16" t="s">
        <v>17</v>
      </c>
      <c r="O202" s="16" t="s">
        <v>6921</v>
      </c>
      <c r="P202" s="16" t="s">
        <v>17</v>
      </c>
      <c r="Q202" s="16" t="s">
        <v>6922</v>
      </c>
      <c r="R202" s="16" t="s">
        <v>6923</v>
      </c>
      <c r="S202" s="16" t="s">
        <v>17</v>
      </c>
      <c r="T202" s="16" t="s">
        <v>7984</v>
      </c>
      <c r="U202" s="16" t="s">
        <v>17</v>
      </c>
      <c r="V202" s="16" t="s">
        <v>6929</v>
      </c>
      <c r="W202" s="16" t="s">
        <v>17</v>
      </c>
      <c r="X202" s="16" t="s">
        <v>5129</v>
      </c>
      <c r="Y202" s="16" t="s">
        <v>17</v>
      </c>
      <c r="Z202" s="16" t="s">
        <v>6926</v>
      </c>
    </row>
    <row r="203" spans="1:26" x14ac:dyDescent="0.3">
      <c r="A203" s="16">
        <v>202</v>
      </c>
      <c r="B203" s="16" t="s">
        <v>7060</v>
      </c>
      <c r="C203" s="17">
        <v>9780070436404</v>
      </c>
      <c r="D203" s="17">
        <v>9780070436404</v>
      </c>
      <c r="E203" s="16" t="s">
        <v>6947</v>
      </c>
      <c r="F203" s="16" t="s">
        <v>17</v>
      </c>
      <c r="G203" s="16" t="s">
        <v>17</v>
      </c>
      <c r="H203" s="16" t="s">
        <v>17</v>
      </c>
      <c r="I203" s="16" t="s">
        <v>17</v>
      </c>
      <c r="J203" s="16" t="s">
        <v>17</v>
      </c>
      <c r="K203" s="16" t="s">
        <v>122</v>
      </c>
      <c r="L203" s="16" t="s">
        <v>121</v>
      </c>
      <c r="M203" s="16" t="s">
        <v>7060</v>
      </c>
      <c r="N203" s="16" t="s">
        <v>17</v>
      </c>
      <c r="O203" s="16" t="s">
        <v>6921</v>
      </c>
      <c r="P203" s="16" t="s">
        <v>17</v>
      </c>
      <c r="Q203" s="16" t="s">
        <v>6922</v>
      </c>
      <c r="R203" s="16" t="s">
        <v>6923</v>
      </c>
      <c r="S203" s="16" t="s">
        <v>17</v>
      </c>
      <c r="T203" s="16" t="s">
        <v>6947</v>
      </c>
      <c r="U203" s="16" t="s">
        <v>17</v>
      </c>
      <c r="V203" s="16" t="s">
        <v>6929</v>
      </c>
      <c r="W203" s="16" t="s">
        <v>17</v>
      </c>
      <c r="X203" s="16" t="s">
        <v>7060</v>
      </c>
      <c r="Y203" s="16" t="s">
        <v>17</v>
      </c>
      <c r="Z203" s="16" t="s">
        <v>6926</v>
      </c>
    </row>
    <row r="204" spans="1:26" x14ac:dyDescent="0.3">
      <c r="A204" s="16">
        <v>203</v>
      </c>
      <c r="B204" s="16" t="s">
        <v>8161</v>
      </c>
      <c r="C204" s="17">
        <v>9781260031188</v>
      </c>
      <c r="D204" s="17">
        <v>9781260031188</v>
      </c>
      <c r="E204" s="16" t="s">
        <v>8162</v>
      </c>
      <c r="F204" s="16" t="s">
        <v>17</v>
      </c>
      <c r="G204" s="16" t="s">
        <v>17</v>
      </c>
      <c r="H204" s="16" t="s">
        <v>17</v>
      </c>
      <c r="I204" s="16" t="s">
        <v>17</v>
      </c>
      <c r="J204" s="16" t="s">
        <v>17</v>
      </c>
      <c r="K204" s="16" t="s">
        <v>1247</v>
      </c>
      <c r="L204" s="16" t="s">
        <v>17</v>
      </c>
      <c r="M204" s="16" t="s">
        <v>8161</v>
      </c>
      <c r="N204" s="16" t="s">
        <v>17</v>
      </c>
      <c r="O204" s="16" t="s">
        <v>6921</v>
      </c>
      <c r="P204" s="16" t="s">
        <v>17</v>
      </c>
      <c r="Q204" s="16" t="s">
        <v>6922</v>
      </c>
      <c r="R204" s="16" t="s">
        <v>6923</v>
      </c>
      <c r="S204" s="16" t="s">
        <v>17</v>
      </c>
      <c r="T204" s="16" t="s">
        <v>8162</v>
      </c>
      <c r="U204" s="16" t="s">
        <v>17</v>
      </c>
      <c r="V204" s="16" t="s">
        <v>7072</v>
      </c>
      <c r="W204" s="16" t="s">
        <v>17</v>
      </c>
      <c r="X204" s="16" t="s">
        <v>8161</v>
      </c>
      <c r="Y204" s="16" t="s">
        <v>17</v>
      </c>
      <c r="Z204" s="16" t="s">
        <v>6926</v>
      </c>
    </row>
    <row r="205" spans="1:26" x14ac:dyDescent="0.3">
      <c r="A205" s="16">
        <v>204</v>
      </c>
      <c r="B205" s="16" t="s">
        <v>7918</v>
      </c>
      <c r="C205" s="17">
        <v>9781260128673</v>
      </c>
      <c r="D205" s="17">
        <v>9781260128673</v>
      </c>
      <c r="E205" s="16" t="s">
        <v>7842</v>
      </c>
      <c r="F205" s="16" t="s">
        <v>17</v>
      </c>
      <c r="G205" s="16" t="s">
        <v>17</v>
      </c>
      <c r="H205" s="16" t="s">
        <v>17</v>
      </c>
      <c r="I205" s="16" t="s">
        <v>17</v>
      </c>
      <c r="J205" s="16" t="s">
        <v>17</v>
      </c>
      <c r="K205" s="16" t="s">
        <v>934</v>
      </c>
      <c r="L205" s="16" t="s">
        <v>7919</v>
      </c>
      <c r="M205" s="16" t="s">
        <v>7918</v>
      </c>
      <c r="N205" s="16" t="s">
        <v>17</v>
      </c>
      <c r="O205" s="16" t="s">
        <v>6921</v>
      </c>
      <c r="P205" s="16" t="s">
        <v>17</v>
      </c>
      <c r="Q205" s="16" t="s">
        <v>6922</v>
      </c>
      <c r="R205" s="16" t="s">
        <v>6923</v>
      </c>
      <c r="S205" s="16" t="s">
        <v>17</v>
      </c>
      <c r="T205" s="16" t="s">
        <v>7842</v>
      </c>
      <c r="U205" s="16" t="s">
        <v>17</v>
      </c>
      <c r="V205" s="16" t="s">
        <v>7027</v>
      </c>
      <c r="W205" s="16" t="s">
        <v>17</v>
      </c>
      <c r="X205" s="16" t="s">
        <v>7918</v>
      </c>
      <c r="Y205" s="16" t="s">
        <v>17</v>
      </c>
      <c r="Z205" s="16" t="s">
        <v>6926</v>
      </c>
    </row>
    <row r="206" spans="1:26" x14ac:dyDescent="0.3">
      <c r="A206" s="16">
        <v>205</v>
      </c>
      <c r="B206" s="16" t="s">
        <v>1529</v>
      </c>
      <c r="C206" s="17">
        <v>9780071745604</v>
      </c>
      <c r="D206" s="17">
        <v>9780071745604</v>
      </c>
      <c r="E206" s="16" t="s">
        <v>6995</v>
      </c>
      <c r="F206" s="16" t="s">
        <v>17</v>
      </c>
      <c r="G206" s="16" t="s">
        <v>17</v>
      </c>
      <c r="H206" s="16" t="s">
        <v>17</v>
      </c>
      <c r="I206" s="16" t="s">
        <v>17</v>
      </c>
      <c r="J206" s="16" t="s">
        <v>17</v>
      </c>
      <c r="K206" s="16" t="s">
        <v>1531</v>
      </c>
      <c r="L206" s="16" t="s">
        <v>1530</v>
      </c>
      <c r="M206" s="16" t="s">
        <v>1529</v>
      </c>
      <c r="N206" s="16" t="s">
        <v>17</v>
      </c>
      <c r="O206" s="16" t="s">
        <v>6921</v>
      </c>
      <c r="P206" s="16" t="s">
        <v>17</v>
      </c>
      <c r="Q206" s="16" t="s">
        <v>6922</v>
      </c>
      <c r="R206" s="16" t="s">
        <v>6923</v>
      </c>
      <c r="S206" s="16" t="s">
        <v>17</v>
      </c>
      <c r="T206" s="16" t="s">
        <v>6995</v>
      </c>
      <c r="U206" s="16" t="s">
        <v>17</v>
      </c>
      <c r="V206" s="16" t="s">
        <v>8373</v>
      </c>
      <c r="W206" s="16" t="s">
        <v>17</v>
      </c>
      <c r="X206" s="16" t="s">
        <v>1529</v>
      </c>
      <c r="Y206" s="16" t="s">
        <v>17</v>
      </c>
      <c r="Z206" s="16" t="s">
        <v>6926</v>
      </c>
    </row>
    <row r="207" spans="1:26" x14ac:dyDescent="0.3">
      <c r="A207" s="16">
        <v>206</v>
      </c>
      <c r="B207" s="16" t="s">
        <v>8023</v>
      </c>
      <c r="C207" s="17">
        <v>9780071455398</v>
      </c>
      <c r="D207" s="17">
        <v>9780071455398</v>
      </c>
      <c r="E207" s="16" t="s">
        <v>6920</v>
      </c>
      <c r="F207" s="16" t="s">
        <v>17</v>
      </c>
      <c r="G207" s="16" t="s">
        <v>17</v>
      </c>
      <c r="H207" s="16" t="s">
        <v>17</v>
      </c>
      <c r="I207" s="16" t="s">
        <v>17</v>
      </c>
      <c r="J207" s="16" t="s">
        <v>17</v>
      </c>
      <c r="K207" s="16" t="s">
        <v>1086</v>
      </c>
      <c r="L207" s="16" t="s">
        <v>1085</v>
      </c>
      <c r="M207" s="16" t="s">
        <v>8023</v>
      </c>
      <c r="N207" s="16" t="s">
        <v>17</v>
      </c>
      <c r="O207" s="16" t="s">
        <v>6921</v>
      </c>
      <c r="P207" s="16" t="s">
        <v>17</v>
      </c>
      <c r="Q207" s="16" t="s">
        <v>6922</v>
      </c>
      <c r="R207" s="16" t="s">
        <v>6923</v>
      </c>
      <c r="S207" s="16" t="s">
        <v>17</v>
      </c>
      <c r="T207" s="16" t="s">
        <v>6920</v>
      </c>
      <c r="U207" s="16" t="s">
        <v>17</v>
      </c>
      <c r="V207" s="16" t="s">
        <v>7429</v>
      </c>
      <c r="W207" s="16" t="s">
        <v>17</v>
      </c>
      <c r="X207" s="16" t="s">
        <v>8023</v>
      </c>
      <c r="Y207" s="16" t="s">
        <v>17</v>
      </c>
      <c r="Z207" s="16" t="s">
        <v>6926</v>
      </c>
    </row>
    <row r="208" spans="1:26" x14ac:dyDescent="0.3">
      <c r="A208" s="16">
        <v>207</v>
      </c>
      <c r="B208" s="16" t="s">
        <v>6927</v>
      </c>
      <c r="C208" s="17">
        <v>9780070063112</v>
      </c>
      <c r="D208" s="17">
        <v>9780070063112</v>
      </c>
      <c r="E208" s="16" t="s">
        <v>6920</v>
      </c>
      <c r="F208" s="16" t="s">
        <v>17</v>
      </c>
      <c r="G208" s="16" t="s">
        <v>17</v>
      </c>
      <c r="H208" s="16" t="s">
        <v>17</v>
      </c>
      <c r="I208" s="16" t="s">
        <v>17</v>
      </c>
      <c r="J208" s="16" t="s">
        <v>17</v>
      </c>
      <c r="K208" s="16" t="s">
        <v>19</v>
      </c>
      <c r="L208" s="16" t="s">
        <v>6928</v>
      </c>
      <c r="M208" s="16" t="s">
        <v>6927</v>
      </c>
      <c r="N208" s="16" t="s">
        <v>17</v>
      </c>
      <c r="O208" s="16" t="s">
        <v>6921</v>
      </c>
      <c r="P208" s="16" t="s">
        <v>17</v>
      </c>
      <c r="Q208" s="16" t="s">
        <v>6922</v>
      </c>
      <c r="R208" s="16" t="s">
        <v>6923</v>
      </c>
      <c r="S208" s="16" t="s">
        <v>17</v>
      </c>
      <c r="T208" s="16" t="s">
        <v>6920</v>
      </c>
      <c r="U208" s="16" t="s">
        <v>17</v>
      </c>
      <c r="V208" s="16" t="s">
        <v>6929</v>
      </c>
      <c r="W208" s="16" t="s">
        <v>17</v>
      </c>
      <c r="X208" s="16" t="s">
        <v>6927</v>
      </c>
      <c r="Y208" s="16" t="s">
        <v>17</v>
      </c>
      <c r="Z208" s="16" t="s">
        <v>6926</v>
      </c>
    </row>
    <row r="209" spans="1:26" x14ac:dyDescent="0.3">
      <c r="A209" s="16">
        <v>208</v>
      </c>
      <c r="B209" s="16" t="s">
        <v>8280</v>
      </c>
      <c r="C209" s="17">
        <v>9781260440737</v>
      </c>
      <c r="D209" s="17">
        <v>9781260440737</v>
      </c>
      <c r="E209" s="16" t="s">
        <v>8019</v>
      </c>
      <c r="F209" s="16" t="s">
        <v>17</v>
      </c>
      <c r="G209" s="16" t="s">
        <v>17</v>
      </c>
      <c r="H209" s="16" t="s">
        <v>17</v>
      </c>
      <c r="I209" s="16" t="s">
        <v>17</v>
      </c>
      <c r="J209" s="16" t="s">
        <v>17</v>
      </c>
      <c r="K209" s="16" t="s">
        <v>1346</v>
      </c>
      <c r="L209" s="16" t="s">
        <v>1079</v>
      </c>
      <c r="M209" s="16" t="s">
        <v>8280</v>
      </c>
      <c r="N209" s="16" t="s">
        <v>17</v>
      </c>
      <c r="O209" s="16" t="s">
        <v>6921</v>
      </c>
      <c r="P209" s="16" t="s">
        <v>17</v>
      </c>
      <c r="Q209" s="16" t="s">
        <v>6922</v>
      </c>
      <c r="R209" s="16" t="s">
        <v>6923</v>
      </c>
      <c r="S209" s="16" t="s">
        <v>17</v>
      </c>
      <c r="T209" s="16" t="s">
        <v>8019</v>
      </c>
      <c r="U209" s="16" t="s">
        <v>17</v>
      </c>
      <c r="V209" s="16" t="s">
        <v>6929</v>
      </c>
      <c r="W209" s="16" t="s">
        <v>17</v>
      </c>
      <c r="X209" s="16" t="s">
        <v>8280</v>
      </c>
      <c r="Y209" s="16" t="s">
        <v>17</v>
      </c>
      <c r="Z209" s="16" t="s">
        <v>6926</v>
      </c>
    </row>
    <row r="210" spans="1:26" x14ac:dyDescent="0.3">
      <c r="A210" s="16">
        <v>209</v>
      </c>
      <c r="B210" s="16" t="s">
        <v>7582</v>
      </c>
      <c r="C210" s="17">
        <v>9780071604659</v>
      </c>
      <c r="D210" s="17">
        <v>9780071604659</v>
      </c>
      <c r="E210" s="16" t="s">
        <v>6920</v>
      </c>
      <c r="F210" s="16" t="s">
        <v>17</v>
      </c>
      <c r="G210" s="16" t="s">
        <v>17</v>
      </c>
      <c r="H210" s="16" t="s">
        <v>17</v>
      </c>
      <c r="I210" s="16" t="s">
        <v>17</v>
      </c>
      <c r="J210" s="16" t="s">
        <v>17</v>
      </c>
      <c r="K210" s="16" t="s">
        <v>573</v>
      </c>
      <c r="L210" s="16" t="s">
        <v>572</v>
      </c>
      <c r="M210" s="16" t="s">
        <v>7582</v>
      </c>
      <c r="N210" s="16" t="s">
        <v>17</v>
      </c>
      <c r="O210" s="16" t="s">
        <v>6921</v>
      </c>
      <c r="P210" s="16" t="s">
        <v>17</v>
      </c>
      <c r="Q210" s="16" t="s">
        <v>6922</v>
      </c>
      <c r="R210" s="16" t="s">
        <v>6923</v>
      </c>
      <c r="S210" s="16" t="s">
        <v>17</v>
      </c>
      <c r="T210" s="16" t="s">
        <v>6920</v>
      </c>
      <c r="U210" s="16" t="s">
        <v>17</v>
      </c>
      <c r="V210" s="16" t="s">
        <v>6929</v>
      </c>
      <c r="W210" s="16" t="s">
        <v>17</v>
      </c>
      <c r="X210" s="16" t="s">
        <v>7582</v>
      </c>
      <c r="Y210" s="16" t="s">
        <v>17</v>
      </c>
      <c r="Z210" s="16" t="s">
        <v>6926</v>
      </c>
    </row>
    <row r="211" spans="1:26" x14ac:dyDescent="0.3">
      <c r="A211" s="16">
        <v>210</v>
      </c>
      <c r="B211" s="16" t="s">
        <v>7210</v>
      </c>
      <c r="C211" s="17">
        <v>9780071846035</v>
      </c>
      <c r="D211" s="17">
        <v>9780071846035</v>
      </c>
      <c r="E211" s="16" t="s">
        <v>7211</v>
      </c>
      <c r="F211" s="16" t="s">
        <v>17</v>
      </c>
      <c r="G211" s="16" t="s">
        <v>17</v>
      </c>
      <c r="H211" s="16" t="s">
        <v>17</v>
      </c>
      <c r="I211" s="16" t="s">
        <v>17</v>
      </c>
      <c r="J211" s="16" t="s">
        <v>17</v>
      </c>
      <c r="K211" s="16" t="s">
        <v>250</v>
      </c>
      <c r="L211" s="16" t="s">
        <v>249</v>
      </c>
      <c r="M211" s="16" t="s">
        <v>7210</v>
      </c>
      <c r="N211" s="16" t="s">
        <v>17</v>
      </c>
      <c r="O211" s="16" t="s">
        <v>6921</v>
      </c>
      <c r="P211" s="16" t="s">
        <v>17</v>
      </c>
      <c r="Q211" s="16" t="s">
        <v>6922</v>
      </c>
      <c r="R211" s="16" t="s">
        <v>6923</v>
      </c>
      <c r="S211" s="16" t="s">
        <v>17</v>
      </c>
      <c r="T211" s="16" t="s">
        <v>7211</v>
      </c>
      <c r="U211" s="16" t="s">
        <v>17</v>
      </c>
      <c r="V211" s="16" t="s">
        <v>6929</v>
      </c>
      <c r="W211" s="16" t="s">
        <v>17</v>
      </c>
      <c r="X211" s="16" t="s">
        <v>7210</v>
      </c>
      <c r="Y211" s="16" t="s">
        <v>17</v>
      </c>
      <c r="Z211" s="16" t="s">
        <v>6926</v>
      </c>
    </row>
    <row r="212" spans="1:26" x14ac:dyDescent="0.3">
      <c r="A212" s="16">
        <v>211</v>
      </c>
      <c r="B212" s="16" t="s">
        <v>8210</v>
      </c>
      <c r="C212" s="17">
        <v>9780071836906</v>
      </c>
      <c r="D212" s="17">
        <v>9780071836906</v>
      </c>
      <c r="E212" s="16" t="s">
        <v>6987</v>
      </c>
      <c r="F212" s="16" t="s">
        <v>17</v>
      </c>
      <c r="G212" s="16" t="s">
        <v>17</v>
      </c>
      <c r="H212" s="16" t="s">
        <v>17</v>
      </c>
      <c r="I212" s="16" t="s">
        <v>17</v>
      </c>
      <c r="J212" s="16" t="s">
        <v>17</v>
      </c>
      <c r="K212" s="16" t="s">
        <v>1290</v>
      </c>
      <c r="L212" s="16" t="s">
        <v>1289</v>
      </c>
      <c r="M212" s="16" t="s">
        <v>8210</v>
      </c>
      <c r="N212" s="16" t="s">
        <v>17</v>
      </c>
      <c r="O212" s="16" t="s">
        <v>6921</v>
      </c>
      <c r="P212" s="16" t="s">
        <v>17</v>
      </c>
      <c r="Q212" s="16" t="s">
        <v>6922</v>
      </c>
      <c r="R212" s="16" t="s">
        <v>6923</v>
      </c>
      <c r="S212" s="16" t="s">
        <v>17</v>
      </c>
      <c r="T212" s="16" t="s">
        <v>6987</v>
      </c>
      <c r="U212" s="16" t="s">
        <v>17</v>
      </c>
      <c r="V212" s="16" t="s">
        <v>6929</v>
      </c>
      <c r="W212" s="16" t="s">
        <v>17</v>
      </c>
      <c r="X212" s="16" t="s">
        <v>8210</v>
      </c>
      <c r="Y212" s="16" t="s">
        <v>17</v>
      </c>
      <c r="Z212" s="16" t="s">
        <v>6926</v>
      </c>
    </row>
    <row r="213" spans="1:26" x14ac:dyDescent="0.3">
      <c r="A213" s="16">
        <v>212</v>
      </c>
      <c r="B213" s="16" t="s">
        <v>8381</v>
      </c>
      <c r="C213" s="17">
        <v>9781260458190</v>
      </c>
      <c r="D213" s="17">
        <v>9781260458190</v>
      </c>
      <c r="E213" s="16" t="s">
        <v>7335</v>
      </c>
      <c r="F213" s="16" t="s">
        <v>17</v>
      </c>
      <c r="G213" s="16" t="s">
        <v>17</v>
      </c>
      <c r="H213" s="16" t="s">
        <v>17</v>
      </c>
      <c r="I213" s="16" t="s">
        <v>17</v>
      </c>
      <c r="J213" s="16" t="s">
        <v>17</v>
      </c>
      <c r="K213" s="16" t="s">
        <v>1540</v>
      </c>
      <c r="L213" s="16" t="s">
        <v>1538</v>
      </c>
      <c r="M213" s="16" t="s">
        <v>8381</v>
      </c>
      <c r="N213" s="16" t="s">
        <v>17</v>
      </c>
      <c r="O213" s="16" t="s">
        <v>6921</v>
      </c>
      <c r="P213" s="16" t="s">
        <v>17</v>
      </c>
      <c r="Q213" s="16" t="s">
        <v>6922</v>
      </c>
      <c r="R213" s="16" t="s">
        <v>6923</v>
      </c>
      <c r="S213" s="16" t="s">
        <v>17</v>
      </c>
      <c r="T213" s="16" t="s">
        <v>7335</v>
      </c>
      <c r="U213" s="16" t="s">
        <v>17</v>
      </c>
      <c r="V213" s="16" t="s">
        <v>6929</v>
      </c>
      <c r="W213" s="16" t="s">
        <v>17</v>
      </c>
      <c r="X213" s="16" t="s">
        <v>8381</v>
      </c>
      <c r="Y213" s="16" t="s">
        <v>17</v>
      </c>
      <c r="Z213" s="16" t="s">
        <v>6926</v>
      </c>
    </row>
    <row r="214" spans="1:26" x14ac:dyDescent="0.3">
      <c r="A214" s="16">
        <v>213</v>
      </c>
      <c r="B214" s="16" t="s">
        <v>7869</v>
      </c>
      <c r="C214" s="17">
        <v>9781259837906</v>
      </c>
      <c r="D214" s="17">
        <v>9781259837906</v>
      </c>
      <c r="E214" s="16" t="s">
        <v>7870</v>
      </c>
      <c r="F214" s="16" t="s">
        <v>17</v>
      </c>
      <c r="G214" s="16" t="s">
        <v>17</v>
      </c>
      <c r="H214" s="16" t="s">
        <v>17</v>
      </c>
      <c r="I214" s="16" t="s">
        <v>17</v>
      </c>
      <c r="J214" s="16" t="s">
        <v>17</v>
      </c>
      <c r="K214" s="16" t="s">
        <v>867</v>
      </c>
      <c r="L214" s="16" t="s">
        <v>866</v>
      </c>
      <c r="M214" s="16" t="s">
        <v>7869</v>
      </c>
      <c r="N214" s="16" t="s">
        <v>17</v>
      </c>
      <c r="O214" s="16" t="s">
        <v>6921</v>
      </c>
      <c r="P214" s="16" t="s">
        <v>17</v>
      </c>
      <c r="Q214" s="16" t="s">
        <v>6922</v>
      </c>
      <c r="R214" s="16" t="s">
        <v>6923</v>
      </c>
      <c r="S214" s="16" t="s">
        <v>17</v>
      </c>
      <c r="T214" s="16" t="s">
        <v>7870</v>
      </c>
      <c r="U214" s="16" t="s">
        <v>17</v>
      </c>
      <c r="V214" s="16" t="s">
        <v>6929</v>
      </c>
      <c r="W214" s="16" t="s">
        <v>17</v>
      </c>
      <c r="X214" s="16" t="s">
        <v>7869</v>
      </c>
      <c r="Y214" s="16" t="s">
        <v>17</v>
      </c>
      <c r="Z214" s="16" t="s">
        <v>6926</v>
      </c>
    </row>
    <row r="215" spans="1:26" x14ac:dyDescent="0.3">
      <c r="A215" s="16">
        <v>214</v>
      </c>
      <c r="B215" s="16" t="s">
        <v>7485</v>
      </c>
      <c r="C215" s="17">
        <v>9780070181311</v>
      </c>
      <c r="D215" s="17">
        <v>9780070181311</v>
      </c>
      <c r="E215" s="16" t="s">
        <v>7486</v>
      </c>
      <c r="F215" s="16" t="s">
        <v>17</v>
      </c>
      <c r="G215" s="16" t="s">
        <v>17</v>
      </c>
      <c r="H215" s="16" t="s">
        <v>17</v>
      </c>
      <c r="I215" s="16" t="s">
        <v>17</v>
      </c>
      <c r="J215" s="16" t="s">
        <v>17</v>
      </c>
      <c r="K215" s="16" t="s">
        <v>495</v>
      </c>
      <c r="L215" s="16" t="s">
        <v>17</v>
      </c>
      <c r="M215" s="16" t="s">
        <v>7485</v>
      </c>
      <c r="N215" s="16" t="s">
        <v>17</v>
      </c>
      <c r="O215" s="16" t="s">
        <v>6921</v>
      </c>
      <c r="P215" s="16" t="s">
        <v>17</v>
      </c>
      <c r="Q215" s="16" t="s">
        <v>6922</v>
      </c>
      <c r="R215" s="16" t="s">
        <v>6923</v>
      </c>
      <c r="S215" s="16" t="s">
        <v>17</v>
      </c>
      <c r="T215" s="16" t="s">
        <v>7486</v>
      </c>
      <c r="U215" s="16" t="s">
        <v>17</v>
      </c>
      <c r="V215" s="16" t="s">
        <v>6929</v>
      </c>
      <c r="W215" s="16" t="s">
        <v>494</v>
      </c>
      <c r="X215" s="16" t="s">
        <v>7485</v>
      </c>
      <c r="Y215" s="16" t="s">
        <v>17</v>
      </c>
      <c r="Z215" s="16" t="s">
        <v>6926</v>
      </c>
    </row>
    <row r="216" spans="1:26" x14ac:dyDescent="0.3">
      <c r="A216" s="16">
        <v>215</v>
      </c>
      <c r="B216" s="16" t="s">
        <v>7688</v>
      </c>
      <c r="C216" s="17">
        <v>9780071622875</v>
      </c>
      <c r="D216" s="17">
        <v>9780071622875</v>
      </c>
      <c r="E216" s="16" t="s">
        <v>6920</v>
      </c>
      <c r="F216" s="16" t="s">
        <v>17</v>
      </c>
      <c r="G216" s="16" t="s">
        <v>17</v>
      </c>
      <c r="H216" s="16" t="s">
        <v>17</v>
      </c>
      <c r="I216" s="16" t="s">
        <v>17</v>
      </c>
      <c r="J216" s="16" t="s">
        <v>17</v>
      </c>
      <c r="K216" s="16" t="s">
        <v>679</v>
      </c>
      <c r="L216" s="16" t="s">
        <v>7689</v>
      </c>
      <c r="M216" s="16" t="s">
        <v>7688</v>
      </c>
      <c r="N216" s="16" t="s">
        <v>17</v>
      </c>
      <c r="O216" s="16" t="s">
        <v>6921</v>
      </c>
      <c r="P216" s="16" t="s">
        <v>17</v>
      </c>
      <c r="Q216" s="16" t="s">
        <v>6922</v>
      </c>
      <c r="R216" s="16" t="s">
        <v>6923</v>
      </c>
      <c r="S216" s="16" t="s">
        <v>17</v>
      </c>
      <c r="T216" s="16" t="s">
        <v>6920</v>
      </c>
      <c r="U216" s="16" t="s">
        <v>17</v>
      </c>
      <c r="V216" s="16" t="s">
        <v>6929</v>
      </c>
      <c r="W216" s="16" t="s">
        <v>17</v>
      </c>
      <c r="X216" s="16" t="s">
        <v>7688</v>
      </c>
      <c r="Y216" s="16" t="s">
        <v>17</v>
      </c>
      <c r="Z216" s="16" t="s">
        <v>6926</v>
      </c>
    </row>
    <row r="217" spans="1:26" x14ac:dyDescent="0.3">
      <c r="A217" s="16">
        <v>216</v>
      </c>
      <c r="B217" s="16" t="s">
        <v>7230</v>
      </c>
      <c r="C217" s="17">
        <v>9781259007361</v>
      </c>
      <c r="D217" s="17">
        <v>9781259007361</v>
      </c>
      <c r="E217" s="16" t="s">
        <v>6995</v>
      </c>
      <c r="F217" s="16" t="s">
        <v>17</v>
      </c>
      <c r="G217" s="16" t="s">
        <v>17</v>
      </c>
      <c r="H217" s="16" t="s">
        <v>17</v>
      </c>
      <c r="I217" s="16" t="s">
        <v>17</v>
      </c>
      <c r="J217" s="16" t="s">
        <v>17</v>
      </c>
      <c r="K217" s="16" t="s">
        <v>266</v>
      </c>
      <c r="L217" s="16" t="s">
        <v>265</v>
      </c>
      <c r="M217" s="16" t="s">
        <v>7230</v>
      </c>
      <c r="N217" s="16" t="s">
        <v>17</v>
      </c>
      <c r="O217" s="16" t="s">
        <v>6921</v>
      </c>
      <c r="P217" s="16" t="s">
        <v>17</v>
      </c>
      <c r="Q217" s="16" t="s">
        <v>6922</v>
      </c>
      <c r="R217" s="16" t="s">
        <v>6923</v>
      </c>
      <c r="S217" s="16" t="s">
        <v>17</v>
      </c>
      <c r="T217" s="16" t="s">
        <v>6995</v>
      </c>
      <c r="U217" s="16" t="s">
        <v>17</v>
      </c>
      <c r="V217" s="16" t="s">
        <v>6929</v>
      </c>
      <c r="W217" s="16" t="s">
        <v>17</v>
      </c>
      <c r="X217" s="16" t="s">
        <v>7230</v>
      </c>
      <c r="Y217" s="16" t="s">
        <v>17</v>
      </c>
      <c r="Z217" s="16" t="s">
        <v>6926</v>
      </c>
    </row>
    <row r="218" spans="1:26" x14ac:dyDescent="0.3">
      <c r="A218" s="16">
        <v>217</v>
      </c>
      <c r="B218" s="16" t="s">
        <v>7956</v>
      </c>
      <c r="C218" s="17">
        <v>9780071820684</v>
      </c>
      <c r="D218" s="17">
        <v>9780071820684</v>
      </c>
      <c r="E218" s="16" t="s">
        <v>7863</v>
      </c>
      <c r="F218" s="16" t="s">
        <v>17</v>
      </c>
      <c r="G218" s="16" t="s">
        <v>17</v>
      </c>
      <c r="H218" s="16" t="s">
        <v>17</v>
      </c>
      <c r="I218" s="16" t="s">
        <v>17</v>
      </c>
      <c r="J218" s="16" t="s">
        <v>17</v>
      </c>
      <c r="K218" s="16" t="s">
        <v>994</v>
      </c>
      <c r="L218" s="16" t="s">
        <v>993</v>
      </c>
      <c r="M218" s="16" t="s">
        <v>7956</v>
      </c>
      <c r="N218" s="16" t="s">
        <v>17</v>
      </c>
      <c r="O218" s="16" t="s">
        <v>6921</v>
      </c>
      <c r="P218" s="16" t="s">
        <v>17</v>
      </c>
      <c r="Q218" s="16" t="s">
        <v>6922</v>
      </c>
      <c r="R218" s="16" t="s">
        <v>6923</v>
      </c>
      <c r="S218" s="16" t="s">
        <v>17</v>
      </c>
      <c r="T218" s="16" t="s">
        <v>7863</v>
      </c>
      <c r="U218" s="16" t="s">
        <v>17</v>
      </c>
      <c r="V218" s="16" t="s">
        <v>6929</v>
      </c>
      <c r="W218" s="16" t="s">
        <v>17</v>
      </c>
      <c r="X218" s="16" t="s">
        <v>7956</v>
      </c>
      <c r="Y218" s="16" t="s">
        <v>17</v>
      </c>
      <c r="Z218" s="16" t="s">
        <v>6926</v>
      </c>
    </row>
    <row r="219" spans="1:26" x14ac:dyDescent="0.3">
      <c r="A219" s="16">
        <v>218</v>
      </c>
      <c r="B219" s="16" t="s">
        <v>7542</v>
      </c>
      <c r="C219" s="17">
        <v>9780070349094</v>
      </c>
      <c r="D219" s="17">
        <v>9780070349094</v>
      </c>
      <c r="E219" s="16" t="s">
        <v>7543</v>
      </c>
      <c r="F219" s="16" t="s">
        <v>17</v>
      </c>
      <c r="G219" s="16" t="s">
        <v>17</v>
      </c>
      <c r="H219" s="16" t="s">
        <v>17</v>
      </c>
      <c r="I219" s="16" t="s">
        <v>17</v>
      </c>
      <c r="J219" s="16" t="s">
        <v>17</v>
      </c>
      <c r="K219" s="16" t="s">
        <v>533</v>
      </c>
      <c r="L219" s="16" t="s">
        <v>17</v>
      </c>
      <c r="M219" s="16" t="s">
        <v>7542</v>
      </c>
      <c r="N219" s="16" t="s">
        <v>17</v>
      </c>
      <c r="O219" s="16" t="s">
        <v>6921</v>
      </c>
      <c r="P219" s="16" t="s">
        <v>17</v>
      </c>
      <c r="Q219" s="16" t="s">
        <v>6922</v>
      </c>
      <c r="R219" s="16" t="s">
        <v>6923</v>
      </c>
      <c r="S219" s="16" t="s">
        <v>17</v>
      </c>
      <c r="T219" s="16" t="s">
        <v>7543</v>
      </c>
      <c r="U219" s="16" t="s">
        <v>17</v>
      </c>
      <c r="V219" s="16" t="s">
        <v>6929</v>
      </c>
      <c r="W219" s="16" t="s">
        <v>7526</v>
      </c>
      <c r="X219" s="16" t="s">
        <v>7542</v>
      </c>
      <c r="Y219" s="16" t="s">
        <v>17</v>
      </c>
      <c r="Z219" s="16" t="s">
        <v>6926</v>
      </c>
    </row>
    <row r="220" spans="1:26" x14ac:dyDescent="0.3">
      <c r="A220" s="16">
        <v>219</v>
      </c>
      <c r="B220" s="16" t="s">
        <v>7525</v>
      </c>
      <c r="C220" s="17">
        <v>9780070349100</v>
      </c>
      <c r="D220" s="17">
        <v>9780070349100</v>
      </c>
      <c r="E220" s="16" t="s">
        <v>7271</v>
      </c>
      <c r="F220" s="16" t="s">
        <v>17</v>
      </c>
      <c r="G220" s="16" t="s">
        <v>17</v>
      </c>
      <c r="H220" s="16" t="s">
        <v>17</v>
      </c>
      <c r="I220" s="16" t="s">
        <v>17</v>
      </c>
      <c r="J220" s="16" t="s">
        <v>17</v>
      </c>
      <c r="K220" s="16" t="s">
        <v>523</v>
      </c>
      <c r="L220" s="16" t="s">
        <v>7526</v>
      </c>
      <c r="M220" s="16" t="s">
        <v>7525</v>
      </c>
      <c r="N220" s="16" t="s">
        <v>17</v>
      </c>
      <c r="O220" s="16" t="s">
        <v>6921</v>
      </c>
      <c r="P220" s="16" t="s">
        <v>17</v>
      </c>
      <c r="Q220" s="16" t="s">
        <v>6922</v>
      </c>
      <c r="R220" s="16" t="s">
        <v>6923</v>
      </c>
      <c r="S220" s="16" t="s">
        <v>17</v>
      </c>
      <c r="T220" s="16" t="s">
        <v>7271</v>
      </c>
      <c r="U220" s="16" t="s">
        <v>17</v>
      </c>
      <c r="V220" s="16" t="s">
        <v>6929</v>
      </c>
      <c r="W220" s="16" t="s">
        <v>17</v>
      </c>
      <c r="X220" s="16" t="s">
        <v>7525</v>
      </c>
      <c r="Y220" s="16" t="s">
        <v>17</v>
      </c>
      <c r="Z220" s="16" t="s">
        <v>6926</v>
      </c>
    </row>
    <row r="221" spans="1:26" x14ac:dyDescent="0.3">
      <c r="A221" s="16">
        <v>220</v>
      </c>
      <c r="B221" s="16" t="s">
        <v>7989</v>
      </c>
      <c r="C221" s="17">
        <v>9781259861468</v>
      </c>
      <c r="D221" s="17">
        <v>9781259861468</v>
      </c>
      <c r="E221" s="16" t="s">
        <v>7900</v>
      </c>
      <c r="F221" s="16" t="s">
        <v>17</v>
      </c>
      <c r="G221" s="16" t="s">
        <v>17</v>
      </c>
      <c r="H221" s="16" t="s">
        <v>17</v>
      </c>
      <c r="I221" s="16" t="s">
        <v>17</v>
      </c>
      <c r="J221" s="16" t="s">
        <v>17</v>
      </c>
      <c r="K221" s="16" t="s">
        <v>1028</v>
      </c>
      <c r="L221" s="16" t="s">
        <v>1027</v>
      </c>
      <c r="M221" s="16" t="s">
        <v>7989</v>
      </c>
      <c r="N221" s="16" t="s">
        <v>17</v>
      </c>
      <c r="O221" s="16" t="s">
        <v>6921</v>
      </c>
      <c r="P221" s="16" t="s">
        <v>17</v>
      </c>
      <c r="Q221" s="16" t="s">
        <v>6922</v>
      </c>
      <c r="R221" s="16" t="s">
        <v>6923</v>
      </c>
      <c r="S221" s="16" t="s">
        <v>17</v>
      </c>
      <c r="T221" s="16" t="s">
        <v>7900</v>
      </c>
      <c r="U221" s="16" t="s">
        <v>17</v>
      </c>
      <c r="V221" s="16" t="s">
        <v>6929</v>
      </c>
      <c r="W221" s="16" t="s">
        <v>17</v>
      </c>
      <c r="X221" s="16" t="s">
        <v>7989</v>
      </c>
      <c r="Y221" s="16" t="s">
        <v>17</v>
      </c>
      <c r="Z221" s="16" t="s">
        <v>6926</v>
      </c>
    </row>
    <row r="222" spans="1:26" x14ac:dyDescent="0.3">
      <c r="A222" s="16">
        <v>221</v>
      </c>
      <c r="B222" s="16" t="s">
        <v>8226</v>
      </c>
      <c r="C222" s="17">
        <v>9780071841726</v>
      </c>
      <c r="D222" s="17">
        <v>9780071841726</v>
      </c>
      <c r="E222" s="16" t="s">
        <v>8227</v>
      </c>
      <c r="F222" s="16" t="s">
        <v>17</v>
      </c>
      <c r="G222" s="16" t="s">
        <v>17</v>
      </c>
      <c r="H222" s="16" t="s">
        <v>17</v>
      </c>
      <c r="I222" s="16" t="s">
        <v>17</v>
      </c>
      <c r="J222" s="16" t="s">
        <v>17</v>
      </c>
      <c r="K222" s="16" t="s">
        <v>1304</v>
      </c>
      <c r="L222" s="16" t="s">
        <v>8228</v>
      </c>
      <c r="M222" s="16" t="s">
        <v>8226</v>
      </c>
      <c r="N222" s="16" t="s">
        <v>17</v>
      </c>
      <c r="O222" s="16" t="s">
        <v>6921</v>
      </c>
      <c r="P222" s="16" t="s">
        <v>17</v>
      </c>
      <c r="Q222" s="16" t="s">
        <v>6922</v>
      </c>
      <c r="R222" s="16" t="s">
        <v>6923</v>
      </c>
      <c r="S222" s="16" t="s">
        <v>17</v>
      </c>
      <c r="T222" s="16" t="s">
        <v>8227</v>
      </c>
      <c r="U222" s="16" t="s">
        <v>17</v>
      </c>
      <c r="V222" s="16" t="s">
        <v>6929</v>
      </c>
      <c r="W222" s="16" t="s">
        <v>17</v>
      </c>
      <c r="X222" s="16" t="s">
        <v>8226</v>
      </c>
      <c r="Y222" s="16" t="s">
        <v>17</v>
      </c>
      <c r="Z222" s="16" t="s">
        <v>6926</v>
      </c>
    </row>
    <row r="223" spans="1:26" x14ac:dyDescent="0.3">
      <c r="A223" s="16">
        <v>222</v>
      </c>
      <c r="B223" s="16" t="s">
        <v>7911</v>
      </c>
      <c r="C223" s="17">
        <v>9781259643743</v>
      </c>
      <c r="D223" s="17">
        <v>9781259643743</v>
      </c>
      <c r="E223" s="16" t="s">
        <v>7845</v>
      </c>
      <c r="F223" s="16" t="s">
        <v>17</v>
      </c>
      <c r="G223" s="16" t="s">
        <v>17</v>
      </c>
      <c r="H223" s="16" t="s">
        <v>17</v>
      </c>
      <c r="I223" s="16" t="s">
        <v>17</v>
      </c>
      <c r="J223" s="16" t="s">
        <v>17</v>
      </c>
      <c r="K223" s="16" t="s">
        <v>918</v>
      </c>
      <c r="L223" s="16" t="s">
        <v>17</v>
      </c>
      <c r="M223" s="16" t="s">
        <v>7911</v>
      </c>
      <c r="N223" s="16" t="s">
        <v>17</v>
      </c>
      <c r="O223" s="16" t="s">
        <v>6921</v>
      </c>
      <c r="P223" s="16" t="s">
        <v>17</v>
      </c>
      <c r="Q223" s="16" t="s">
        <v>6922</v>
      </c>
      <c r="R223" s="16" t="s">
        <v>6923</v>
      </c>
      <c r="S223" s="16" t="s">
        <v>17</v>
      </c>
      <c r="T223" s="16" t="s">
        <v>7845</v>
      </c>
      <c r="U223" s="16" t="s">
        <v>17</v>
      </c>
      <c r="V223" s="16" t="s">
        <v>6929</v>
      </c>
      <c r="W223" s="16" t="s">
        <v>7912</v>
      </c>
      <c r="X223" s="16" t="s">
        <v>7911</v>
      </c>
      <c r="Y223" s="16" t="s">
        <v>17</v>
      </c>
      <c r="Z223" s="16" t="s">
        <v>6926</v>
      </c>
    </row>
    <row r="224" spans="1:26" x14ac:dyDescent="0.3">
      <c r="A224" s="16">
        <v>223</v>
      </c>
      <c r="B224" s="16" t="s">
        <v>7617</v>
      </c>
      <c r="C224" s="17">
        <v>9780071700450</v>
      </c>
      <c r="D224" s="17">
        <v>9780071700450</v>
      </c>
      <c r="E224" s="16" t="s">
        <v>7057</v>
      </c>
      <c r="F224" s="16" t="s">
        <v>17</v>
      </c>
      <c r="G224" s="16" t="s">
        <v>17</v>
      </c>
      <c r="H224" s="16" t="s">
        <v>17</v>
      </c>
      <c r="I224" s="16" t="s">
        <v>17</v>
      </c>
      <c r="J224" s="16" t="s">
        <v>17</v>
      </c>
      <c r="K224" s="16" t="s">
        <v>610</v>
      </c>
      <c r="L224" s="16" t="s">
        <v>609</v>
      </c>
      <c r="M224" s="16" t="s">
        <v>7617</v>
      </c>
      <c r="N224" s="16" t="s">
        <v>17</v>
      </c>
      <c r="O224" s="16" t="s">
        <v>6921</v>
      </c>
      <c r="P224" s="16" t="s">
        <v>17</v>
      </c>
      <c r="Q224" s="16" t="s">
        <v>6922</v>
      </c>
      <c r="R224" s="16" t="s">
        <v>6923</v>
      </c>
      <c r="S224" s="16" t="s">
        <v>17</v>
      </c>
      <c r="T224" s="16" t="s">
        <v>7057</v>
      </c>
      <c r="U224" s="16" t="s">
        <v>17</v>
      </c>
      <c r="V224" s="16" t="s">
        <v>6929</v>
      </c>
      <c r="W224" s="16" t="s">
        <v>17</v>
      </c>
      <c r="X224" s="16" t="s">
        <v>7617</v>
      </c>
      <c r="Y224" s="16" t="s">
        <v>17</v>
      </c>
      <c r="Z224" s="16" t="s">
        <v>6926</v>
      </c>
    </row>
    <row r="225" spans="1:26" x14ac:dyDescent="0.3">
      <c r="A225" s="16">
        <v>224</v>
      </c>
      <c r="B225" s="16" t="s">
        <v>7094</v>
      </c>
      <c r="C225" s="17">
        <v>9780071623957</v>
      </c>
      <c r="D225" s="17">
        <v>9780071623957</v>
      </c>
      <c r="E225" s="16" t="s">
        <v>7095</v>
      </c>
      <c r="F225" s="16" t="s">
        <v>17</v>
      </c>
      <c r="G225" s="16" t="s">
        <v>17</v>
      </c>
      <c r="H225" s="16" t="s">
        <v>17</v>
      </c>
      <c r="I225" s="16" t="s">
        <v>17</v>
      </c>
      <c r="J225" s="16" t="s">
        <v>17</v>
      </c>
      <c r="K225" s="16" t="s">
        <v>159</v>
      </c>
      <c r="L225" s="16" t="s">
        <v>157</v>
      </c>
      <c r="M225" s="16" t="s">
        <v>7094</v>
      </c>
      <c r="N225" s="16" t="s">
        <v>17</v>
      </c>
      <c r="O225" s="16" t="s">
        <v>6921</v>
      </c>
      <c r="P225" s="16" t="s">
        <v>17</v>
      </c>
      <c r="Q225" s="16" t="s">
        <v>6922</v>
      </c>
      <c r="R225" s="16" t="s">
        <v>6923</v>
      </c>
      <c r="S225" s="16" t="s">
        <v>17</v>
      </c>
      <c r="T225" s="16" t="s">
        <v>7095</v>
      </c>
      <c r="U225" s="16" t="s">
        <v>17</v>
      </c>
      <c r="V225" s="16" t="s">
        <v>6924</v>
      </c>
      <c r="W225" s="16" t="s">
        <v>17</v>
      </c>
      <c r="X225" s="16" t="s">
        <v>7094</v>
      </c>
      <c r="Y225" s="16" t="s">
        <v>17</v>
      </c>
      <c r="Z225" s="16" t="s">
        <v>6926</v>
      </c>
    </row>
    <row r="226" spans="1:26" x14ac:dyDescent="0.3">
      <c r="A226" s="16">
        <v>225</v>
      </c>
      <c r="B226" s="16" t="s">
        <v>8041</v>
      </c>
      <c r="C226" s="17">
        <v>9780071835855</v>
      </c>
      <c r="D226" s="17">
        <v>9780071835855</v>
      </c>
      <c r="E226" s="16" t="s">
        <v>6939</v>
      </c>
      <c r="F226" s="16" t="s">
        <v>17</v>
      </c>
      <c r="G226" s="16" t="s">
        <v>17</v>
      </c>
      <c r="H226" s="16" t="s">
        <v>17</v>
      </c>
      <c r="I226" s="16" t="s">
        <v>17</v>
      </c>
      <c r="J226" s="16" t="s">
        <v>17</v>
      </c>
      <c r="K226" s="16" t="s">
        <v>1118</v>
      </c>
      <c r="L226" s="16" t="s">
        <v>1116</v>
      </c>
      <c r="M226" s="16" t="s">
        <v>8041</v>
      </c>
      <c r="N226" s="16" t="s">
        <v>17</v>
      </c>
      <c r="O226" s="16" t="s">
        <v>6921</v>
      </c>
      <c r="P226" s="16" t="s">
        <v>17</v>
      </c>
      <c r="Q226" s="16" t="s">
        <v>6922</v>
      </c>
      <c r="R226" s="16" t="s">
        <v>6923</v>
      </c>
      <c r="S226" s="16" t="s">
        <v>17</v>
      </c>
      <c r="T226" s="16" t="s">
        <v>6939</v>
      </c>
      <c r="U226" s="16" t="s">
        <v>17</v>
      </c>
      <c r="V226" s="16" t="s">
        <v>6929</v>
      </c>
      <c r="W226" s="16" t="s">
        <v>17</v>
      </c>
      <c r="X226" s="16" t="s">
        <v>8041</v>
      </c>
      <c r="Y226" s="16" t="s">
        <v>17</v>
      </c>
      <c r="Z226" s="16" t="s">
        <v>6926</v>
      </c>
    </row>
    <row r="227" spans="1:26" x14ac:dyDescent="0.3">
      <c r="A227" s="16">
        <v>226</v>
      </c>
      <c r="B227" s="16" t="s">
        <v>7154</v>
      </c>
      <c r="C227" s="17">
        <v>9780071373319</v>
      </c>
      <c r="D227" s="17">
        <v>9780071373319</v>
      </c>
      <c r="E227" s="16" t="s">
        <v>6920</v>
      </c>
      <c r="F227" s="16" t="s">
        <v>17</v>
      </c>
      <c r="G227" s="16" t="s">
        <v>17</v>
      </c>
      <c r="H227" s="16" t="s">
        <v>17</v>
      </c>
      <c r="I227" s="16" t="s">
        <v>17</v>
      </c>
      <c r="J227" s="16" t="s">
        <v>17</v>
      </c>
      <c r="K227" s="16" t="s">
        <v>206</v>
      </c>
      <c r="L227" s="16" t="s">
        <v>205</v>
      </c>
      <c r="M227" s="16" t="s">
        <v>7154</v>
      </c>
      <c r="N227" s="16" t="s">
        <v>17</v>
      </c>
      <c r="O227" s="16" t="s">
        <v>6921</v>
      </c>
      <c r="P227" s="16" t="s">
        <v>17</v>
      </c>
      <c r="Q227" s="16" t="s">
        <v>6922</v>
      </c>
      <c r="R227" s="16" t="s">
        <v>6923</v>
      </c>
      <c r="S227" s="16" t="s">
        <v>17</v>
      </c>
      <c r="T227" s="16" t="s">
        <v>6920</v>
      </c>
      <c r="U227" s="16" t="s">
        <v>17</v>
      </c>
      <c r="V227" s="16" t="s">
        <v>6929</v>
      </c>
      <c r="W227" s="16" t="s">
        <v>17</v>
      </c>
      <c r="X227" s="16" t="s">
        <v>7154</v>
      </c>
      <c r="Y227" s="16" t="s">
        <v>17</v>
      </c>
      <c r="Z227" s="16" t="s">
        <v>6926</v>
      </c>
    </row>
    <row r="228" spans="1:26" x14ac:dyDescent="0.3">
      <c r="A228" s="16">
        <v>227</v>
      </c>
      <c r="B228" s="16" t="s">
        <v>8277</v>
      </c>
      <c r="C228" s="17">
        <v>9781259587122</v>
      </c>
      <c r="D228" s="17">
        <v>9781259587122</v>
      </c>
      <c r="E228" s="16" t="s">
        <v>6981</v>
      </c>
      <c r="F228" s="16" t="s">
        <v>17</v>
      </c>
      <c r="G228" s="16" t="s">
        <v>17</v>
      </c>
      <c r="H228" s="16" t="s">
        <v>17</v>
      </c>
      <c r="I228" s="16" t="s">
        <v>17</v>
      </c>
      <c r="J228" s="16" t="s">
        <v>17</v>
      </c>
      <c r="K228" s="16" t="s">
        <v>1342</v>
      </c>
      <c r="L228" s="16" t="s">
        <v>8278</v>
      </c>
      <c r="M228" s="16" t="s">
        <v>8277</v>
      </c>
      <c r="N228" s="16" t="s">
        <v>17</v>
      </c>
      <c r="O228" s="16" t="s">
        <v>6921</v>
      </c>
      <c r="P228" s="16" t="s">
        <v>17</v>
      </c>
      <c r="Q228" s="16" t="s">
        <v>6922</v>
      </c>
      <c r="R228" s="16" t="s">
        <v>6923</v>
      </c>
      <c r="S228" s="16" t="s">
        <v>17</v>
      </c>
      <c r="T228" s="16" t="s">
        <v>6981</v>
      </c>
      <c r="U228" s="16" t="s">
        <v>17</v>
      </c>
      <c r="V228" s="16" t="s">
        <v>6949</v>
      </c>
      <c r="W228" s="16" t="s">
        <v>17</v>
      </c>
      <c r="X228" s="16" t="s">
        <v>8277</v>
      </c>
      <c r="Y228" s="16" t="s">
        <v>17</v>
      </c>
      <c r="Z228" s="16" t="s">
        <v>6926</v>
      </c>
    </row>
    <row r="229" spans="1:26" x14ac:dyDescent="0.3">
      <c r="A229" s="16">
        <v>228</v>
      </c>
      <c r="B229" s="16" t="s">
        <v>7441</v>
      </c>
      <c r="C229" s="17">
        <v>9780071771115</v>
      </c>
      <c r="D229" s="17">
        <v>9780071771115</v>
      </c>
      <c r="E229" s="16" t="s">
        <v>7185</v>
      </c>
      <c r="F229" s="16" t="s">
        <v>17</v>
      </c>
      <c r="G229" s="16" t="s">
        <v>17</v>
      </c>
      <c r="H229" s="16" t="s">
        <v>17</v>
      </c>
      <c r="I229" s="16" t="s">
        <v>17</v>
      </c>
      <c r="J229" s="16" t="s">
        <v>17</v>
      </c>
      <c r="K229" s="16" t="s">
        <v>454</v>
      </c>
      <c r="L229" s="16" t="s">
        <v>7442</v>
      </c>
      <c r="M229" s="16" t="s">
        <v>7441</v>
      </c>
      <c r="N229" s="16" t="s">
        <v>17</v>
      </c>
      <c r="O229" s="16" t="s">
        <v>6921</v>
      </c>
      <c r="P229" s="16" t="s">
        <v>17</v>
      </c>
      <c r="Q229" s="16" t="s">
        <v>6922</v>
      </c>
      <c r="R229" s="16" t="s">
        <v>6923</v>
      </c>
      <c r="S229" s="16" t="s">
        <v>17</v>
      </c>
      <c r="T229" s="16" t="s">
        <v>7185</v>
      </c>
      <c r="U229" s="16" t="s">
        <v>17</v>
      </c>
      <c r="V229" s="16" t="s">
        <v>6924</v>
      </c>
      <c r="W229" s="16" t="s">
        <v>17</v>
      </c>
      <c r="X229" s="16" t="s">
        <v>7441</v>
      </c>
      <c r="Y229" s="16" t="s">
        <v>17</v>
      </c>
      <c r="Z229" s="16" t="s">
        <v>6926</v>
      </c>
    </row>
    <row r="230" spans="1:26" x14ac:dyDescent="0.3">
      <c r="A230" s="16">
        <v>229</v>
      </c>
      <c r="B230" s="16" t="s">
        <v>7562</v>
      </c>
      <c r="C230" s="17">
        <v>9780070359710</v>
      </c>
      <c r="D230" s="17">
        <v>9780070359710</v>
      </c>
      <c r="E230" s="16" t="s">
        <v>6920</v>
      </c>
      <c r="F230" s="16" t="s">
        <v>17</v>
      </c>
      <c r="G230" s="16" t="s">
        <v>17</v>
      </c>
      <c r="H230" s="16" t="s">
        <v>17</v>
      </c>
      <c r="I230" s="16" t="s">
        <v>17</v>
      </c>
      <c r="J230" s="16" t="s">
        <v>17</v>
      </c>
      <c r="K230" s="16" t="s">
        <v>552</v>
      </c>
      <c r="L230" s="16" t="s">
        <v>17</v>
      </c>
      <c r="M230" s="16" t="s">
        <v>7562</v>
      </c>
      <c r="N230" s="16" t="s">
        <v>17</v>
      </c>
      <c r="O230" s="16" t="s">
        <v>6921</v>
      </c>
      <c r="P230" s="16" t="s">
        <v>17</v>
      </c>
      <c r="Q230" s="16" t="s">
        <v>6922</v>
      </c>
      <c r="R230" s="16" t="s">
        <v>6923</v>
      </c>
      <c r="S230" s="16" t="s">
        <v>17</v>
      </c>
      <c r="T230" s="16" t="s">
        <v>6920</v>
      </c>
      <c r="U230" s="16" t="s">
        <v>17</v>
      </c>
      <c r="V230" s="16" t="s">
        <v>6929</v>
      </c>
      <c r="W230" s="16" t="s">
        <v>7563</v>
      </c>
      <c r="X230" s="16" t="s">
        <v>7562</v>
      </c>
      <c r="Y230" s="16" t="s">
        <v>17</v>
      </c>
      <c r="Z230" s="16" t="s">
        <v>6926</v>
      </c>
    </row>
    <row r="231" spans="1:26" x14ac:dyDescent="0.3">
      <c r="A231" s="16">
        <v>230</v>
      </c>
      <c r="B231" s="16" t="s">
        <v>7238</v>
      </c>
      <c r="C231" s="17">
        <v>9780070144552</v>
      </c>
      <c r="D231" s="17">
        <v>9780070144552</v>
      </c>
      <c r="E231" s="16" t="s">
        <v>7178</v>
      </c>
      <c r="F231" s="16" t="s">
        <v>17</v>
      </c>
      <c r="G231" s="16" t="s">
        <v>17</v>
      </c>
      <c r="H231" s="16" t="s">
        <v>17</v>
      </c>
      <c r="I231" s="16" t="s">
        <v>17</v>
      </c>
      <c r="J231" s="16" t="s">
        <v>17</v>
      </c>
      <c r="K231" s="16" t="s">
        <v>274</v>
      </c>
      <c r="L231" s="16" t="s">
        <v>7239</v>
      </c>
      <c r="M231" s="16" t="s">
        <v>7238</v>
      </c>
      <c r="N231" s="16" t="s">
        <v>17</v>
      </c>
      <c r="O231" s="16" t="s">
        <v>6921</v>
      </c>
      <c r="P231" s="16" t="s">
        <v>17</v>
      </c>
      <c r="Q231" s="16" t="s">
        <v>6922</v>
      </c>
      <c r="R231" s="16" t="s">
        <v>6923</v>
      </c>
      <c r="S231" s="16" t="s">
        <v>17</v>
      </c>
      <c r="T231" s="16" t="s">
        <v>7178</v>
      </c>
      <c r="U231" s="16" t="s">
        <v>17</v>
      </c>
      <c r="V231" s="16" t="s">
        <v>7072</v>
      </c>
      <c r="W231" s="16" t="s">
        <v>17</v>
      </c>
      <c r="X231" s="16" t="s">
        <v>7238</v>
      </c>
      <c r="Y231" s="16" t="s">
        <v>17</v>
      </c>
      <c r="Z231" s="16" t="s">
        <v>6926</v>
      </c>
    </row>
    <row r="232" spans="1:26" x14ac:dyDescent="0.3">
      <c r="A232" s="16">
        <v>231</v>
      </c>
      <c r="B232" s="16" t="s">
        <v>7565</v>
      </c>
      <c r="C232" s="17">
        <v>9781260464078</v>
      </c>
      <c r="D232" s="17">
        <v>9781260464078</v>
      </c>
      <c r="E232" s="16" t="s">
        <v>7566</v>
      </c>
      <c r="F232" s="16" t="s">
        <v>17</v>
      </c>
      <c r="G232" s="16" t="s">
        <v>17</v>
      </c>
      <c r="H232" s="16" t="s">
        <v>17</v>
      </c>
      <c r="I232" s="16" t="s">
        <v>17</v>
      </c>
      <c r="J232" s="16" t="s">
        <v>17</v>
      </c>
      <c r="K232" s="16" t="s">
        <v>556</v>
      </c>
      <c r="L232" s="16" t="s">
        <v>555</v>
      </c>
      <c r="M232" s="16" t="s">
        <v>7565</v>
      </c>
      <c r="N232" s="16" t="s">
        <v>17</v>
      </c>
      <c r="O232" s="16" t="s">
        <v>6921</v>
      </c>
      <c r="P232" s="16" t="s">
        <v>17</v>
      </c>
      <c r="Q232" s="16" t="s">
        <v>6922</v>
      </c>
      <c r="R232" s="16" t="s">
        <v>6923</v>
      </c>
      <c r="S232" s="16" t="s">
        <v>17</v>
      </c>
      <c r="T232" s="16" t="s">
        <v>7566</v>
      </c>
      <c r="U232" s="16" t="s">
        <v>17</v>
      </c>
      <c r="V232" s="16" t="s">
        <v>6929</v>
      </c>
      <c r="W232" s="16" t="s">
        <v>17</v>
      </c>
      <c r="X232" s="16" t="s">
        <v>7565</v>
      </c>
      <c r="Y232" s="16" t="s">
        <v>17</v>
      </c>
      <c r="Z232" s="16" t="s">
        <v>6926</v>
      </c>
    </row>
    <row r="233" spans="1:26" x14ac:dyDescent="0.3">
      <c r="A233" s="16">
        <v>232</v>
      </c>
      <c r="B233" s="16" t="s">
        <v>8376</v>
      </c>
      <c r="C233" s="17">
        <v>9780071771917</v>
      </c>
      <c r="D233" s="17">
        <v>9780071771917</v>
      </c>
      <c r="E233" s="16" t="s">
        <v>7033</v>
      </c>
      <c r="F233" s="16" t="s">
        <v>17</v>
      </c>
      <c r="G233" s="16" t="s">
        <v>17</v>
      </c>
      <c r="H233" s="16" t="s">
        <v>17</v>
      </c>
      <c r="I233" s="16" t="s">
        <v>17</v>
      </c>
      <c r="J233" s="16" t="s">
        <v>17</v>
      </c>
      <c r="K233" s="16" t="s">
        <v>1534</v>
      </c>
      <c r="L233" s="16" t="s">
        <v>1533</v>
      </c>
      <c r="M233" s="16" t="s">
        <v>8376</v>
      </c>
      <c r="N233" s="16" t="s">
        <v>17</v>
      </c>
      <c r="O233" s="16" t="s">
        <v>6921</v>
      </c>
      <c r="P233" s="16" t="s">
        <v>17</v>
      </c>
      <c r="Q233" s="16" t="s">
        <v>6922</v>
      </c>
      <c r="R233" s="16" t="s">
        <v>6923</v>
      </c>
      <c r="S233" s="16" t="s">
        <v>17</v>
      </c>
      <c r="T233" s="16" t="s">
        <v>7033</v>
      </c>
      <c r="U233" s="16" t="s">
        <v>17</v>
      </c>
      <c r="V233" s="16" t="s">
        <v>6929</v>
      </c>
      <c r="W233" s="16" t="s">
        <v>17</v>
      </c>
      <c r="X233" s="16" t="s">
        <v>8376</v>
      </c>
      <c r="Y233" s="16" t="s">
        <v>17</v>
      </c>
      <c r="Z233" s="16" t="s">
        <v>6926</v>
      </c>
    </row>
    <row r="234" spans="1:26" x14ac:dyDescent="0.3">
      <c r="A234" s="16">
        <v>233</v>
      </c>
      <c r="B234" s="16" t="s">
        <v>7179</v>
      </c>
      <c r="C234" s="17">
        <v>9780071418201</v>
      </c>
      <c r="D234" s="17">
        <v>9780071418201</v>
      </c>
      <c r="E234" s="16" t="s">
        <v>6920</v>
      </c>
      <c r="F234" s="16" t="s">
        <v>17</v>
      </c>
      <c r="G234" s="16" t="s">
        <v>17</v>
      </c>
      <c r="H234" s="16" t="s">
        <v>17</v>
      </c>
      <c r="I234" s="16" t="s">
        <v>17</v>
      </c>
      <c r="J234" s="16" t="s">
        <v>17</v>
      </c>
      <c r="K234" s="16" t="s">
        <v>229</v>
      </c>
      <c r="L234" s="16" t="s">
        <v>228</v>
      </c>
      <c r="M234" s="16" t="s">
        <v>7179</v>
      </c>
      <c r="N234" s="16" t="s">
        <v>17</v>
      </c>
      <c r="O234" s="16" t="s">
        <v>6921</v>
      </c>
      <c r="P234" s="16" t="s">
        <v>17</v>
      </c>
      <c r="Q234" s="16" t="s">
        <v>6922</v>
      </c>
      <c r="R234" s="16" t="s">
        <v>6923</v>
      </c>
      <c r="S234" s="16" t="s">
        <v>17</v>
      </c>
      <c r="T234" s="16" t="s">
        <v>6920</v>
      </c>
      <c r="U234" s="16" t="s">
        <v>17</v>
      </c>
      <c r="V234" s="16" t="s">
        <v>6924</v>
      </c>
      <c r="W234" s="16" t="s">
        <v>17</v>
      </c>
      <c r="X234" s="16" t="s">
        <v>7179</v>
      </c>
      <c r="Y234" s="16" t="s">
        <v>17</v>
      </c>
      <c r="Z234" s="16" t="s">
        <v>6926</v>
      </c>
    </row>
    <row r="235" spans="1:26" x14ac:dyDescent="0.3">
      <c r="A235" s="16">
        <v>234</v>
      </c>
      <c r="B235" s="16" t="s">
        <v>1525</v>
      </c>
      <c r="C235" s="17">
        <v>9780071396035</v>
      </c>
      <c r="D235" s="17">
        <v>9780071396035</v>
      </c>
      <c r="E235" s="16" t="s">
        <v>6920</v>
      </c>
      <c r="F235" s="16" t="s">
        <v>17</v>
      </c>
      <c r="G235" s="16" t="s">
        <v>17</v>
      </c>
      <c r="H235" s="16" t="s">
        <v>17</v>
      </c>
      <c r="I235" s="16" t="s">
        <v>17</v>
      </c>
      <c r="J235" s="16" t="s">
        <v>17</v>
      </c>
      <c r="K235" s="16" t="s">
        <v>1527</v>
      </c>
      <c r="L235" s="16" t="s">
        <v>1526</v>
      </c>
      <c r="M235" s="16" t="s">
        <v>1525</v>
      </c>
      <c r="N235" s="16" t="s">
        <v>17</v>
      </c>
      <c r="O235" s="16" t="s">
        <v>6921</v>
      </c>
      <c r="P235" s="16" t="s">
        <v>17</v>
      </c>
      <c r="Q235" s="16" t="s">
        <v>6922</v>
      </c>
      <c r="R235" s="16" t="s">
        <v>6923</v>
      </c>
      <c r="S235" s="16" t="s">
        <v>17</v>
      </c>
      <c r="T235" s="16" t="s">
        <v>6920</v>
      </c>
      <c r="U235" s="16" t="s">
        <v>17</v>
      </c>
      <c r="V235" s="16" t="s">
        <v>7049</v>
      </c>
      <c r="W235" s="16" t="s">
        <v>17</v>
      </c>
      <c r="X235" s="16" t="s">
        <v>1525</v>
      </c>
      <c r="Y235" s="16" t="s">
        <v>17</v>
      </c>
      <c r="Z235" s="16" t="s">
        <v>6926</v>
      </c>
    </row>
    <row r="236" spans="1:26" x14ac:dyDescent="0.3">
      <c r="A236" s="16">
        <v>235</v>
      </c>
      <c r="B236" s="16" t="s">
        <v>7549</v>
      </c>
      <c r="C236" s="17">
        <v>9780071333016</v>
      </c>
      <c r="D236" s="17">
        <v>9780071333016</v>
      </c>
      <c r="E236" s="16" t="s">
        <v>7550</v>
      </c>
      <c r="F236" s="16" t="s">
        <v>17</v>
      </c>
      <c r="G236" s="16" t="s">
        <v>17</v>
      </c>
      <c r="H236" s="16" t="s">
        <v>17</v>
      </c>
      <c r="I236" s="16" t="s">
        <v>17</v>
      </c>
      <c r="J236" s="16" t="s">
        <v>17</v>
      </c>
      <c r="K236" s="16" t="s">
        <v>544</v>
      </c>
      <c r="L236" s="16" t="s">
        <v>17</v>
      </c>
      <c r="M236" s="16" t="s">
        <v>7549</v>
      </c>
      <c r="N236" s="16" t="s">
        <v>17</v>
      </c>
      <c r="O236" s="16" t="s">
        <v>6921</v>
      </c>
      <c r="P236" s="16" t="s">
        <v>17</v>
      </c>
      <c r="Q236" s="16" t="s">
        <v>6922</v>
      </c>
      <c r="R236" s="16" t="s">
        <v>6923</v>
      </c>
      <c r="S236" s="16" t="s">
        <v>17</v>
      </c>
      <c r="T236" s="16" t="s">
        <v>7550</v>
      </c>
      <c r="U236" s="16" t="s">
        <v>17</v>
      </c>
      <c r="V236" s="16" t="s">
        <v>6929</v>
      </c>
      <c r="W236" s="16" t="s">
        <v>17</v>
      </c>
      <c r="X236" s="16" t="s">
        <v>7549</v>
      </c>
      <c r="Y236" s="16" t="s">
        <v>17</v>
      </c>
      <c r="Z236" s="16" t="s">
        <v>6926</v>
      </c>
    </row>
    <row r="237" spans="1:26" x14ac:dyDescent="0.3">
      <c r="A237" s="16">
        <v>236</v>
      </c>
      <c r="B237" s="16" t="s">
        <v>7981</v>
      </c>
      <c r="C237" s="17">
        <v>9780071761550</v>
      </c>
      <c r="D237" s="17">
        <v>9780071761550</v>
      </c>
      <c r="E237" s="16" t="s">
        <v>7982</v>
      </c>
      <c r="F237" s="16" t="s">
        <v>17</v>
      </c>
      <c r="G237" s="16" t="s">
        <v>17</v>
      </c>
      <c r="H237" s="16" t="s">
        <v>17</v>
      </c>
      <c r="I237" s="16" t="s">
        <v>17</v>
      </c>
      <c r="J237" s="16" t="s">
        <v>17</v>
      </c>
      <c r="K237" s="16" t="s">
        <v>1022</v>
      </c>
      <c r="L237" s="16" t="s">
        <v>1021</v>
      </c>
      <c r="M237" s="16" t="s">
        <v>7981</v>
      </c>
      <c r="N237" s="16" t="s">
        <v>17</v>
      </c>
      <c r="O237" s="16" t="s">
        <v>6921</v>
      </c>
      <c r="P237" s="16" t="s">
        <v>17</v>
      </c>
      <c r="Q237" s="16" t="s">
        <v>6922</v>
      </c>
      <c r="R237" s="16" t="s">
        <v>6923</v>
      </c>
      <c r="S237" s="16" t="s">
        <v>17</v>
      </c>
      <c r="T237" s="16" t="s">
        <v>7982</v>
      </c>
      <c r="U237" s="16" t="s">
        <v>17</v>
      </c>
      <c r="V237" s="16" t="s">
        <v>6949</v>
      </c>
      <c r="W237" s="16" t="s">
        <v>17</v>
      </c>
      <c r="X237" s="16" t="s">
        <v>7981</v>
      </c>
      <c r="Y237" s="16" t="s">
        <v>17</v>
      </c>
      <c r="Z237" s="16" t="s">
        <v>6926</v>
      </c>
    </row>
    <row r="238" spans="1:26" x14ac:dyDescent="0.3">
      <c r="A238" s="16">
        <v>237</v>
      </c>
      <c r="B238" s="16" t="s">
        <v>8146</v>
      </c>
      <c r="C238" s="17">
        <v>9781260134858</v>
      </c>
      <c r="D238" s="17">
        <v>9781260134858</v>
      </c>
      <c r="E238" s="16" t="s">
        <v>7393</v>
      </c>
      <c r="F238" s="16" t="s">
        <v>17</v>
      </c>
      <c r="G238" s="16" t="s">
        <v>17</v>
      </c>
      <c r="H238" s="16" t="s">
        <v>17</v>
      </c>
      <c r="I238" s="16" t="s">
        <v>17</v>
      </c>
      <c r="J238" s="16" t="s">
        <v>17</v>
      </c>
      <c r="K238" s="16" t="s">
        <v>1235</v>
      </c>
      <c r="L238" s="16" t="s">
        <v>8147</v>
      </c>
      <c r="M238" s="16" t="s">
        <v>8146</v>
      </c>
      <c r="N238" s="16" t="s">
        <v>17</v>
      </c>
      <c r="O238" s="16" t="s">
        <v>6921</v>
      </c>
      <c r="P238" s="16" t="s">
        <v>17</v>
      </c>
      <c r="Q238" s="16" t="s">
        <v>6922</v>
      </c>
      <c r="R238" s="16" t="s">
        <v>6923</v>
      </c>
      <c r="S238" s="16" t="s">
        <v>17</v>
      </c>
      <c r="T238" s="16" t="s">
        <v>7393</v>
      </c>
      <c r="U238" s="16" t="s">
        <v>17</v>
      </c>
      <c r="V238" s="16" t="s">
        <v>6944</v>
      </c>
      <c r="W238" s="16" t="s">
        <v>17</v>
      </c>
      <c r="X238" s="16" t="s">
        <v>8146</v>
      </c>
      <c r="Y238" s="16" t="s">
        <v>17</v>
      </c>
      <c r="Z238" s="16" t="s">
        <v>6926</v>
      </c>
    </row>
    <row r="239" spans="1:26" x14ac:dyDescent="0.3">
      <c r="A239" s="16">
        <v>238</v>
      </c>
      <c r="B239" s="16" t="s">
        <v>1415</v>
      </c>
      <c r="C239" s="17">
        <v>9780071745130</v>
      </c>
      <c r="D239" s="17">
        <v>9780071745130</v>
      </c>
      <c r="E239" s="16" t="s">
        <v>7777</v>
      </c>
      <c r="F239" s="16" t="s">
        <v>17</v>
      </c>
      <c r="G239" s="16" t="s">
        <v>17</v>
      </c>
      <c r="H239" s="16" t="s">
        <v>17</v>
      </c>
      <c r="I239" s="16" t="s">
        <v>17</v>
      </c>
      <c r="J239" s="16" t="s">
        <v>17</v>
      </c>
      <c r="K239" s="16" t="s">
        <v>1416</v>
      </c>
      <c r="L239" s="16" t="s">
        <v>8334</v>
      </c>
      <c r="M239" s="16" t="s">
        <v>1415</v>
      </c>
      <c r="N239" s="16" t="s">
        <v>17</v>
      </c>
      <c r="O239" s="16" t="s">
        <v>6921</v>
      </c>
      <c r="P239" s="16" t="s">
        <v>17</v>
      </c>
      <c r="Q239" s="16" t="s">
        <v>6922</v>
      </c>
      <c r="R239" s="16" t="s">
        <v>6923</v>
      </c>
      <c r="S239" s="16" t="s">
        <v>17</v>
      </c>
      <c r="T239" s="16" t="s">
        <v>7777</v>
      </c>
      <c r="U239" s="16" t="s">
        <v>17</v>
      </c>
      <c r="V239" s="16" t="s">
        <v>7866</v>
      </c>
      <c r="W239" s="16" t="s">
        <v>17</v>
      </c>
      <c r="X239" s="16" t="s">
        <v>1415</v>
      </c>
      <c r="Y239" s="16" t="s">
        <v>17</v>
      </c>
      <c r="Z239" s="16" t="s">
        <v>6926</v>
      </c>
    </row>
    <row r="240" spans="1:26" x14ac:dyDescent="0.3">
      <c r="A240" s="16">
        <v>239</v>
      </c>
      <c r="B240" s="16" t="s">
        <v>7321</v>
      </c>
      <c r="C240" s="17">
        <v>9780071508186</v>
      </c>
      <c r="D240" s="17">
        <v>9780071508186</v>
      </c>
      <c r="E240" s="16" t="s">
        <v>6920</v>
      </c>
      <c r="F240" s="16" t="s">
        <v>17</v>
      </c>
      <c r="G240" s="16" t="s">
        <v>17</v>
      </c>
      <c r="H240" s="16" t="s">
        <v>17</v>
      </c>
      <c r="I240" s="16" t="s">
        <v>17</v>
      </c>
      <c r="J240" s="16" t="s">
        <v>17</v>
      </c>
      <c r="K240" s="16" t="s">
        <v>346</v>
      </c>
      <c r="L240" s="16" t="s">
        <v>345</v>
      </c>
      <c r="M240" s="16" t="s">
        <v>7321</v>
      </c>
      <c r="N240" s="16" t="s">
        <v>17</v>
      </c>
      <c r="O240" s="16" t="s">
        <v>6921</v>
      </c>
      <c r="P240" s="16" t="s">
        <v>17</v>
      </c>
      <c r="Q240" s="16" t="s">
        <v>6922</v>
      </c>
      <c r="R240" s="16" t="s">
        <v>6923</v>
      </c>
      <c r="S240" s="16" t="s">
        <v>17</v>
      </c>
      <c r="T240" s="16" t="s">
        <v>6920</v>
      </c>
      <c r="U240" s="16" t="s">
        <v>17</v>
      </c>
      <c r="V240" s="16" t="s">
        <v>6929</v>
      </c>
      <c r="W240" s="16" t="s">
        <v>17</v>
      </c>
      <c r="X240" s="16" t="s">
        <v>7321</v>
      </c>
      <c r="Y240" s="16" t="s">
        <v>17</v>
      </c>
      <c r="Z240" s="16" t="s">
        <v>6926</v>
      </c>
    </row>
    <row r="241" spans="1:26" x14ac:dyDescent="0.3">
      <c r="A241" s="16">
        <v>240</v>
      </c>
      <c r="B241" s="16" t="s">
        <v>7844</v>
      </c>
      <c r="C241" s="17">
        <v>9781260012002</v>
      </c>
      <c r="D241" s="17">
        <v>9781260012002</v>
      </c>
      <c r="E241" s="16" t="s">
        <v>7845</v>
      </c>
      <c r="F241" s="16" t="s">
        <v>17</v>
      </c>
      <c r="G241" s="16" t="s">
        <v>17</v>
      </c>
      <c r="H241" s="16" t="s">
        <v>17</v>
      </c>
      <c r="I241" s="16" t="s">
        <v>17</v>
      </c>
      <c r="J241" s="16" t="s">
        <v>17</v>
      </c>
      <c r="K241" s="16" t="s">
        <v>833</v>
      </c>
      <c r="L241" s="16" t="s">
        <v>832</v>
      </c>
      <c r="M241" s="16" t="s">
        <v>7844</v>
      </c>
      <c r="N241" s="16" t="s">
        <v>17</v>
      </c>
      <c r="O241" s="16" t="s">
        <v>6921</v>
      </c>
      <c r="P241" s="16" t="s">
        <v>17</v>
      </c>
      <c r="Q241" s="16" t="s">
        <v>6922</v>
      </c>
      <c r="R241" s="16" t="s">
        <v>6923</v>
      </c>
      <c r="S241" s="16" t="s">
        <v>17</v>
      </c>
      <c r="T241" s="16" t="s">
        <v>7845</v>
      </c>
      <c r="U241" s="16" t="s">
        <v>17</v>
      </c>
      <c r="V241" s="16" t="s">
        <v>6929</v>
      </c>
      <c r="W241" s="16" t="s">
        <v>17</v>
      </c>
      <c r="X241" s="16" t="s">
        <v>7844</v>
      </c>
      <c r="Y241" s="16" t="s">
        <v>17</v>
      </c>
      <c r="Z241" s="16" t="s">
        <v>6926</v>
      </c>
    </row>
    <row r="242" spans="1:26" x14ac:dyDescent="0.3">
      <c r="A242" s="16">
        <v>241</v>
      </c>
      <c r="B242" s="16" t="s">
        <v>7910</v>
      </c>
      <c r="C242" s="17">
        <v>9781259585043</v>
      </c>
      <c r="D242" s="17">
        <v>9781259585043</v>
      </c>
      <c r="E242" s="16" t="s">
        <v>7067</v>
      </c>
      <c r="F242" s="16" t="s">
        <v>17</v>
      </c>
      <c r="G242" s="16" t="s">
        <v>17</v>
      </c>
      <c r="H242" s="16" t="s">
        <v>17</v>
      </c>
      <c r="I242" s="16" t="s">
        <v>17</v>
      </c>
      <c r="J242" s="16" t="s">
        <v>17</v>
      </c>
      <c r="K242" s="16" t="s">
        <v>917</v>
      </c>
      <c r="L242" s="16" t="s">
        <v>916</v>
      </c>
      <c r="M242" s="16" t="s">
        <v>7910</v>
      </c>
      <c r="N242" s="16" t="s">
        <v>17</v>
      </c>
      <c r="O242" s="16" t="s">
        <v>6921</v>
      </c>
      <c r="P242" s="16" t="s">
        <v>17</v>
      </c>
      <c r="Q242" s="16" t="s">
        <v>6922</v>
      </c>
      <c r="R242" s="16" t="s">
        <v>6923</v>
      </c>
      <c r="S242" s="16" t="s">
        <v>17</v>
      </c>
      <c r="T242" s="16" t="s">
        <v>7067</v>
      </c>
      <c r="U242" s="16" t="s">
        <v>17</v>
      </c>
      <c r="V242" s="16" t="s">
        <v>6924</v>
      </c>
      <c r="W242" s="16" t="s">
        <v>17</v>
      </c>
      <c r="X242" s="16" t="s">
        <v>7910</v>
      </c>
      <c r="Y242" s="16" t="s">
        <v>17</v>
      </c>
      <c r="Z242" s="16" t="s">
        <v>6926</v>
      </c>
    </row>
    <row r="243" spans="1:26" x14ac:dyDescent="0.3">
      <c r="A243" s="16">
        <v>242</v>
      </c>
      <c r="B243" s="16" t="s">
        <v>7378</v>
      </c>
      <c r="C243" s="17">
        <v>9781260457148</v>
      </c>
      <c r="D243" s="17">
        <v>9781260457148</v>
      </c>
      <c r="E243" s="16" t="s">
        <v>7379</v>
      </c>
      <c r="F243" s="16" t="s">
        <v>17</v>
      </c>
      <c r="G243" s="16" t="s">
        <v>17</v>
      </c>
      <c r="H243" s="16" t="s">
        <v>17</v>
      </c>
      <c r="I243" s="16" t="s">
        <v>17</v>
      </c>
      <c r="J243" s="16" t="s">
        <v>17</v>
      </c>
      <c r="K243" s="16" t="s">
        <v>397</v>
      </c>
      <c r="L243" s="16" t="s">
        <v>7380</v>
      </c>
      <c r="M243" s="16" t="s">
        <v>7378</v>
      </c>
      <c r="N243" s="16" t="s">
        <v>17</v>
      </c>
      <c r="O243" s="16" t="s">
        <v>6921</v>
      </c>
      <c r="P243" s="16" t="s">
        <v>17</v>
      </c>
      <c r="Q243" s="16" t="s">
        <v>6922</v>
      </c>
      <c r="R243" s="16" t="s">
        <v>6923</v>
      </c>
      <c r="S243" s="16" t="s">
        <v>17</v>
      </c>
      <c r="T243" s="16" t="s">
        <v>7379</v>
      </c>
      <c r="U243" s="16" t="s">
        <v>17</v>
      </c>
      <c r="V243" s="16" t="s">
        <v>6929</v>
      </c>
      <c r="W243" s="16" t="s">
        <v>17</v>
      </c>
      <c r="X243" s="16" t="s">
        <v>7378</v>
      </c>
      <c r="Y243" s="16" t="s">
        <v>17</v>
      </c>
      <c r="Z243" s="16" t="s">
        <v>6926</v>
      </c>
    </row>
    <row r="244" spans="1:26" x14ac:dyDescent="0.3">
      <c r="A244" s="16">
        <v>243</v>
      </c>
      <c r="B244" s="16" t="s">
        <v>7720</v>
      </c>
      <c r="C244" s="17">
        <v>9780071477529</v>
      </c>
      <c r="D244" s="17">
        <v>9780071477529</v>
      </c>
      <c r="E244" s="16" t="s">
        <v>6920</v>
      </c>
      <c r="F244" s="16" t="s">
        <v>17</v>
      </c>
      <c r="G244" s="16" t="s">
        <v>17</v>
      </c>
      <c r="H244" s="16" t="s">
        <v>17</v>
      </c>
      <c r="I244" s="16" t="s">
        <v>17</v>
      </c>
      <c r="J244" s="16" t="s">
        <v>17</v>
      </c>
      <c r="K244" s="16" t="s">
        <v>707</v>
      </c>
      <c r="L244" s="16" t="s">
        <v>7721</v>
      </c>
      <c r="M244" s="16" t="s">
        <v>7720</v>
      </c>
      <c r="N244" s="16" t="s">
        <v>17</v>
      </c>
      <c r="O244" s="16" t="s">
        <v>6921</v>
      </c>
      <c r="P244" s="16" t="s">
        <v>17</v>
      </c>
      <c r="Q244" s="16" t="s">
        <v>6922</v>
      </c>
      <c r="R244" s="16" t="s">
        <v>6923</v>
      </c>
      <c r="S244" s="16" t="s">
        <v>17</v>
      </c>
      <c r="T244" s="16" t="s">
        <v>6920</v>
      </c>
      <c r="U244" s="16" t="s">
        <v>17</v>
      </c>
      <c r="V244" s="16" t="s">
        <v>6929</v>
      </c>
      <c r="W244" s="16" t="s">
        <v>17</v>
      </c>
      <c r="X244" s="16" t="s">
        <v>7720</v>
      </c>
      <c r="Y244" s="16" t="s">
        <v>17</v>
      </c>
      <c r="Z244" s="16" t="s">
        <v>6926</v>
      </c>
    </row>
    <row r="245" spans="1:26" x14ac:dyDescent="0.3">
      <c r="A245" s="16">
        <v>244</v>
      </c>
      <c r="B245" s="16" t="s">
        <v>6992</v>
      </c>
      <c r="C245" s="17">
        <v>9780070410442</v>
      </c>
      <c r="D245" s="17">
        <v>9780070410442</v>
      </c>
      <c r="E245" s="16" t="s">
        <v>6920</v>
      </c>
      <c r="F245" s="16" t="s">
        <v>17</v>
      </c>
      <c r="G245" s="16" t="s">
        <v>17</v>
      </c>
      <c r="H245" s="16" t="s">
        <v>17</v>
      </c>
      <c r="I245" s="16" t="s">
        <v>17</v>
      </c>
      <c r="J245" s="16" t="s">
        <v>17</v>
      </c>
      <c r="K245" s="16" t="s">
        <v>69</v>
      </c>
      <c r="L245" s="16" t="s">
        <v>17</v>
      </c>
      <c r="M245" s="16" t="s">
        <v>6992</v>
      </c>
      <c r="N245" s="16" t="s">
        <v>17</v>
      </c>
      <c r="O245" s="16" t="s">
        <v>6921</v>
      </c>
      <c r="P245" s="16" t="s">
        <v>17</v>
      </c>
      <c r="Q245" s="16" t="s">
        <v>6922</v>
      </c>
      <c r="R245" s="16" t="s">
        <v>6923</v>
      </c>
      <c r="S245" s="16" t="s">
        <v>17</v>
      </c>
      <c r="T245" s="16" t="s">
        <v>6920</v>
      </c>
      <c r="U245" s="16" t="s">
        <v>17</v>
      </c>
      <c r="V245" s="16" t="s">
        <v>6929</v>
      </c>
      <c r="W245" s="16" t="s">
        <v>6993</v>
      </c>
      <c r="X245" s="16" t="s">
        <v>6992</v>
      </c>
      <c r="Y245" s="16" t="s">
        <v>17</v>
      </c>
      <c r="Z245" s="16" t="s">
        <v>6926</v>
      </c>
    </row>
    <row r="246" spans="1:26" x14ac:dyDescent="0.3">
      <c r="A246" s="16">
        <v>245</v>
      </c>
      <c r="B246" s="16" t="s">
        <v>7141</v>
      </c>
      <c r="C246" s="17">
        <v>9780071471718</v>
      </c>
      <c r="D246" s="17">
        <v>9780071471718</v>
      </c>
      <c r="E246" s="16" t="s">
        <v>6920</v>
      </c>
      <c r="F246" s="16" t="s">
        <v>17</v>
      </c>
      <c r="G246" s="16" t="s">
        <v>17</v>
      </c>
      <c r="H246" s="16" t="s">
        <v>17</v>
      </c>
      <c r="I246" s="16" t="s">
        <v>17</v>
      </c>
      <c r="J246" s="16" t="s">
        <v>17</v>
      </c>
      <c r="K246" s="16" t="s">
        <v>197</v>
      </c>
      <c r="L246" s="16" t="s">
        <v>7142</v>
      </c>
      <c r="M246" s="16" t="s">
        <v>7141</v>
      </c>
      <c r="N246" s="16" t="s">
        <v>17</v>
      </c>
      <c r="O246" s="16" t="s">
        <v>6921</v>
      </c>
      <c r="P246" s="16" t="s">
        <v>17</v>
      </c>
      <c r="Q246" s="16" t="s">
        <v>6922</v>
      </c>
      <c r="R246" s="16" t="s">
        <v>6923</v>
      </c>
      <c r="S246" s="16" t="s">
        <v>17</v>
      </c>
      <c r="T246" s="16" t="s">
        <v>6920</v>
      </c>
      <c r="U246" s="16" t="s">
        <v>17</v>
      </c>
      <c r="V246" s="16" t="s">
        <v>7024</v>
      </c>
      <c r="W246" s="16" t="s">
        <v>17</v>
      </c>
      <c r="X246" s="16" t="s">
        <v>7141</v>
      </c>
      <c r="Y246" s="16" t="s">
        <v>17</v>
      </c>
      <c r="Z246" s="16" t="s">
        <v>6926</v>
      </c>
    </row>
    <row r="247" spans="1:26" x14ac:dyDescent="0.3">
      <c r="A247" s="16">
        <v>246</v>
      </c>
      <c r="B247" s="16" t="s">
        <v>7481</v>
      </c>
      <c r="C247" s="17">
        <v>9780070126183</v>
      </c>
      <c r="D247" s="17">
        <v>9780070126183</v>
      </c>
      <c r="E247" s="16" t="s">
        <v>6920</v>
      </c>
      <c r="F247" s="16" t="s">
        <v>17</v>
      </c>
      <c r="G247" s="16" t="s">
        <v>17</v>
      </c>
      <c r="H247" s="16" t="s">
        <v>17</v>
      </c>
      <c r="I247" s="16" t="s">
        <v>17</v>
      </c>
      <c r="J247" s="16" t="s">
        <v>17</v>
      </c>
      <c r="K247" s="16" t="s">
        <v>492</v>
      </c>
      <c r="L247" s="16" t="s">
        <v>17</v>
      </c>
      <c r="M247" s="16" t="s">
        <v>7481</v>
      </c>
      <c r="N247" s="16" t="s">
        <v>17</v>
      </c>
      <c r="O247" s="16" t="s">
        <v>6921</v>
      </c>
      <c r="P247" s="16" t="s">
        <v>17</v>
      </c>
      <c r="Q247" s="16" t="s">
        <v>6922</v>
      </c>
      <c r="R247" s="16" t="s">
        <v>6923</v>
      </c>
      <c r="S247" s="16" t="s">
        <v>17</v>
      </c>
      <c r="T247" s="16" t="s">
        <v>6920</v>
      </c>
      <c r="U247" s="16" t="s">
        <v>17</v>
      </c>
      <c r="V247" s="16" t="s">
        <v>6949</v>
      </c>
      <c r="W247" s="16" t="s">
        <v>7482</v>
      </c>
      <c r="X247" s="16" t="s">
        <v>7481</v>
      </c>
      <c r="Y247" s="16" t="s">
        <v>17</v>
      </c>
      <c r="Z247" s="16" t="s">
        <v>6926</v>
      </c>
    </row>
    <row r="248" spans="1:26" x14ac:dyDescent="0.3">
      <c r="A248" s="16">
        <v>247</v>
      </c>
      <c r="B248" s="16" t="s">
        <v>7092</v>
      </c>
      <c r="C248" s="17">
        <v>9780071402149</v>
      </c>
      <c r="D248" s="17">
        <v>9780071402149</v>
      </c>
      <c r="E248" s="16" t="s">
        <v>6920</v>
      </c>
      <c r="F248" s="16" t="s">
        <v>17</v>
      </c>
      <c r="G248" s="16" t="s">
        <v>17</v>
      </c>
      <c r="H248" s="16" t="s">
        <v>17</v>
      </c>
      <c r="I248" s="16" t="s">
        <v>17</v>
      </c>
      <c r="J248" s="16" t="s">
        <v>17</v>
      </c>
      <c r="K248" s="16" t="s">
        <v>156</v>
      </c>
      <c r="L248" s="16" t="s">
        <v>17</v>
      </c>
      <c r="M248" s="16" t="s">
        <v>7092</v>
      </c>
      <c r="N248" s="16" t="s">
        <v>17</v>
      </c>
      <c r="O248" s="16" t="s">
        <v>6921</v>
      </c>
      <c r="P248" s="16" t="s">
        <v>17</v>
      </c>
      <c r="Q248" s="16" t="s">
        <v>6922</v>
      </c>
      <c r="R248" s="16" t="s">
        <v>6923</v>
      </c>
      <c r="S248" s="16" t="s">
        <v>17</v>
      </c>
      <c r="T248" s="16" t="s">
        <v>6920</v>
      </c>
      <c r="U248" s="16" t="s">
        <v>17</v>
      </c>
      <c r="V248" s="16" t="s">
        <v>6949</v>
      </c>
      <c r="W248" s="16" t="s">
        <v>7093</v>
      </c>
      <c r="X248" s="16" t="s">
        <v>7092</v>
      </c>
      <c r="Y248" s="16" t="s">
        <v>17</v>
      </c>
      <c r="Z248" s="16" t="s">
        <v>6926</v>
      </c>
    </row>
    <row r="249" spans="1:26" x14ac:dyDescent="0.3">
      <c r="A249" s="16">
        <v>248</v>
      </c>
      <c r="B249" s="16" t="s">
        <v>1494</v>
      </c>
      <c r="C249" s="17">
        <v>9780070580480</v>
      </c>
      <c r="D249" s="17">
        <v>9780070580480</v>
      </c>
      <c r="E249" s="16" t="s">
        <v>6920</v>
      </c>
      <c r="F249" s="16" t="s">
        <v>17</v>
      </c>
      <c r="G249" s="16" t="s">
        <v>17</v>
      </c>
      <c r="H249" s="16" t="s">
        <v>17</v>
      </c>
      <c r="I249" s="16" t="s">
        <v>17</v>
      </c>
      <c r="J249" s="16" t="s">
        <v>17</v>
      </c>
      <c r="K249" s="16" t="s">
        <v>1495</v>
      </c>
      <c r="L249" s="16" t="s">
        <v>253</v>
      </c>
      <c r="M249" s="16" t="s">
        <v>1494</v>
      </c>
      <c r="N249" s="16" t="s">
        <v>17</v>
      </c>
      <c r="O249" s="16" t="s">
        <v>6921</v>
      </c>
      <c r="P249" s="16" t="s">
        <v>17</v>
      </c>
      <c r="Q249" s="16" t="s">
        <v>6922</v>
      </c>
      <c r="R249" s="16" t="s">
        <v>6923</v>
      </c>
      <c r="S249" s="16" t="s">
        <v>17</v>
      </c>
      <c r="T249" s="16" t="s">
        <v>6920</v>
      </c>
      <c r="U249" s="16" t="s">
        <v>17</v>
      </c>
      <c r="V249" s="16" t="s">
        <v>7049</v>
      </c>
      <c r="W249" s="16" t="s">
        <v>17</v>
      </c>
      <c r="X249" s="16" t="s">
        <v>1494</v>
      </c>
      <c r="Y249" s="16" t="s">
        <v>17</v>
      </c>
      <c r="Z249" s="16" t="s">
        <v>6926</v>
      </c>
    </row>
    <row r="250" spans="1:26" x14ac:dyDescent="0.3">
      <c r="A250" s="16">
        <v>249</v>
      </c>
      <c r="B250" s="16" t="s">
        <v>7976</v>
      </c>
      <c r="C250" s="17">
        <v>9780071819909</v>
      </c>
      <c r="D250" s="17">
        <v>9780071819909</v>
      </c>
      <c r="E250" s="16" t="s">
        <v>6939</v>
      </c>
      <c r="F250" s="16" t="s">
        <v>17</v>
      </c>
      <c r="G250" s="16" t="s">
        <v>17</v>
      </c>
      <c r="H250" s="16" t="s">
        <v>17</v>
      </c>
      <c r="I250" s="16" t="s">
        <v>17</v>
      </c>
      <c r="J250" s="16" t="s">
        <v>17</v>
      </c>
      <c r="K250" s="16" t="s">
        <v>1010</v>
      </c>
      <c r="L250" s="16" t="s">
        <v>7977</v>
      </c>
      <c r="M250" s="16" t="s">
        <v>7976</v>
      </c>
      <c r="N250" s="16" t="s">
        <v>17</v>
      </c>
      <c r="O250" s="16" t="s">
        <v>6921</v>
      </c>
      <c r="P250" s="16" t="s">
        <v>17</v>
      </c>
      <c r="Q250" s="16" t="s">
        <v>6922</v>
      </c>
      <c r="R250" s="16" t="s">
        <v>6923</v>
      </c>
      <c r="S250" s="16" t="s">
        <v>17</v>
      </c>
      <c r="T250" s="16" t="s">
        <v>6939</v>
      </c>
      <c r="U250" s="16" t="s">
        <v>17</v>
      </c>
      <c r="V250" s="16" t="s">
        <v>7024</v>
      </c>
      <c r="W250" s="16" t="s">
        <v>17</v>
      </c>
      <c r="X250" s="16" t="s">
        <v>7976</v>
      </c>
      <c r="Y250" s="16" t="s">
        <v>17</v>
      </c>
      <c r="Z250" s="16" t="s">
        <v>6926</v>
      </c>
    </row>
    <row r="251" spans="1:26" x14ac:dyDescent="0.3">
      <c r="A251" s="16">
        <v>250</v>
      </c>
      <c r="B251" s="16" t="s">
        <v>8289</v>
      </c>
      <c r="C251" s="17">
        <v>9780071837286</v>
      </c>
      <c r="D251" s="17">
        <v>9780071837286</v>
      </c>
      <c r="E251" s="16" t="s">
        <v>7478</v>
      </c>
      <c r="F251" s="16" t="s">
        <v>17</v>
      </c>
      <c r="G251" s="16" t="s">
        <v>17</v>
      </c>
      <c r="H251" s="16" t="s">
        <v>17</v>
      </c>
      <c r="I251" s="16" t="s">
        <v>17</v>
      </c>
      <c r="J251" s="16" t="s">
        <v>17</v>
      </c>
      <c r="K251" s="16" t="s">
        <v>1352</v>
      </c>
      <c r="L251" s="16" t="s">
        <v>1093</v>
      </c>
      <c r="M251" s="16" t="s">
        <v>8289</v>
      </c>
      <c r="N251" s="16" t="s">
        <v>17</v>
      </c>
      <c r="O251" s="16" t="s">
        <v>6921</v>
      </c>
      <c r="P251" s="16" t="s">
        <v>17</v>
      </c>
      <c r="Q251" s="16" t="s">
        <v>6922</v>
      </c>
      <c r="R251" s="16" t="s">
        <v>6923</v>
      </c>
      <c r="S251" s="16" t="s">
        <v>17</v>
      </c>
      <c r="T251" s="16" t="s">
        <v>7478</v>
      </c>
      <c r="U251" s="16" t="s">
        <v>17</v>
      </c>
      <c r="V251" s="16" t="s">
        <v>6929</v>
      </c>
      <c r="W251" s="16" t="s">
        <v>17</v>
      </c>
      <c r="X251" s="16" t="s">
        <v>8289</v>
      </c>
      <c r="Y251" s="16" t="s">
        <v>17</v>
      </c>
      <c r="Z251" s="16" t="s">
        <v>6926</v>
      </c>
    </row>
    <row r="252" spans="1:26" x14ac:dyDescent="0.3">
      <c r="A252" s="16">
        <v>251</v>
      </c>
      <c r="B252" s="16" t="s">
        <v>296</v>
      </c>
      <c r="C252" s="17">
        <v>9780071386241</v>
      </c>
      <c r="D252" s="17">
        <v>9780071386241</v>
      </c>
      <c r="E252" s="16" t="s">
        <v>6920</v>
      </c>
      <c r="F252" s="16" t="s">
        <v>17</v>
      </c>
      <c r="G252" s="16" t="s">
        <v>17</v>
      </c>
      <c r="H252" s="16" t="s">
        <v>17</v>
      </c>
      <c r="I252" s="16" t="s">
        <v>17</v>
      </c>
      <c r="J252" s="16" t="s">
        <v>17</v>
      </c>
      <c r="K252" s="16" t="s">
        <v>298</v>
      </c>
      <c r="L252" s="16" t="s">
        <v>297</v>
      </c>
      <c r="M252" s="16" t="s">
        <v>296</v>
      </c>
      <c r="N252" s="16" t="s">
        <v>17</v>
      </c>
      <c r="O252" s="16" t="s">
        <v>6921</v>
      </c>
      <c r="P252" s="16" t="s">
        <v>17</v>
      </c>
      <c r="Q252" s="16" t="s">
        <v>6922</v>
      </c>
      <c r="R252" s="16" t="s">
        <v>6923</v>
      </c>
      <c r="S252" s="16" t="s">
        <v>17</v>
      </c>
      <c r="T252" s="16" t="s">
        <v>6920</v>
      </c>
      <c r="U252" s="16" t="s">
        <v>17</v>
      </c>
      <c r="V252" s="16" t="s">
        <v>7049</v>
      </c>
      <c r="W252" s="16" t="s">
        <v>17</v>
      </c>
      <c r="X252" s="16" t="s">
        <v>296</v>
      </c>
      <c r="Y252" s="16" t="s">
        <v>17</v>
      </c>
      <c r="Z252" s="16" t="s">
        <v>6926</v>
      </c>
    </row>
    <row r="253" spans="1:26" x14ac:dyDescent="0.3">
      <c r="A253" s="16">
        <v>252</v>
      </c>
      <c r="B253" s="16" t="s">
        <v>7180</v>
      </c>
      <c r="C253" s="17">
        <v>9780070687165</v>
      </c>
      <c r="D253" s="17">
        <v>9780070687165</v>
      </c>
      <c r="E253" s="16" t="s">
        <v>6920</v>
      </c>
      <c r="F253" s="16" t="s">
        <v>17</v>
      </c>
      <c r="G253" s="16" t="s">
        <v>17</v>
      </c>
      <c r="H253" s="16" t="s">
        <v>17</v>
      </c>
      <c r="I253" s="16" t="s">
        <v>17</v>
      </c>
      <c r="J253" s="16" t="s">
        <v>17</v>
      </c>
      <c r="K253" s="16" t="s">
        <v>230</v>
      </c>
      <c r="L253" s="16" t="s">
        <v>17</v>
      </c>
      <c r="M253" s="16" t="s">
        <v>7180</v>
      </c>
      <c r="N253" s="16" t="s">
        <v>17</v>
      </c>
      <c r="O253" s="16" t="s">
        <v>6921</v>
      </c>
      <c r="P253" s="16" t="s">
        <v>17</v>
      </c>
      <c r="Q253" s="16" t="s">
        <v>6922</v>
      </c>
      <c r="R253" s="16" t="s">
        <v>6923</v>
      </c>
      <c r="S253" s="16" t="s">
        <v>17</v>
      </c>
      <c r="T253" s="16" t="s">
        <v>6920</v>
      </c>
      <c r="U253" s="16" t="s">
        <v>17</v>
      </c>
      <c r="V253" s="16" t="s">
        <v>6924</v>
      </c>
      <c r="W253" s="16" t="s">
        <v>7181</v>
      </c>
      <c r="X253" s="16" t="s">
        <v>7180</v>
      </c>
      <c r="Y253" s="16" t="s">
        <v>17</v>
      </c>
      <c r="Z253" s="16" t="s">
        <v>6926</v>
      </c>
    </row>
    <row r="254" spans="1:26" x14ac:dyDescent="0.3">
      <c r="A254" s="16">
        <v>253</v>
      </c>
      <c r="B254" s="16" t="s">
        <v>7208</v>
      </c>
      <c r="C254" s="17">
        <v>9780070656963</v>
      </c>
      <c r="D254" s="17">
        <v>9780070656963</v>
      </c>
      <c r="E254" s="16" t="s">
        <v>6947</v>
      </c>
      <c r="F254" s="16" t="s">
        <v>17</v>
      </c>
      <c r="G254" s="16" t="s">
        <v>17</v>
      </c>
      <c r="H254" s="16" t="s">
        <v>17</v>
      </c>
      <c r="I254" s="16" t="s">
        <v>17</v>
      </c>
      <c r="J254" s="16" t="s">
        <v>17</v>
      </c>
      <c r="K254" s="16" t="s">
        <v>248</v>
      </c>
      <c r="L254" s="16" t="s">
        <v>7209</v>
      </c>
      <c r="M254" s="16" t="s">
        <v>7208</v>
      </c>
      <c r="N254" s="16" t="s">
        <v>17</v>
      </c>
      <c r="O254" s="16" t="s">
        <v>6921</v>
      </c>
      <c r="P254" s="16" t="s">
        <v>17</v>
      </c>
      <c r="Q254" s="16" t="s">
        <v>6922</v>
      </c>
      <c r="R254" s="16" t="s">
        <v>6923</v>
      </c>
      <c r="S254" s="16" t="s">
        <v>17</v>
      </c>
      <c r="T254" s="16" t="s">
        <v>6947</v>
      </c>
      <c r="U254" s="16" t="s">
        <v>17</v>
      </c>
      <c r="V254" s="16" t="s">
        <v>6929</v>
      </c>
      <c r="W254" s="16" t="s">
        <v>17</v>
      </c>
      <c r="X254" s="16" t="s">
        <v>7208</v>
      </c>
      <c r="Y254" s="16" t="s">
        <v>17</v>
      </c>
      <c r="Z254" s="16" t="s">
        <v>6926</v>
      </c>
    </row>
    <row r="255" spans="1:26" x14ac:dyDescent="0.3">
      <c r="A255" s="16">
        <v>254</v>
      </c>
      <c r="B255" s="16" t="s">
        <v>8059</v>
      </c>
      <c r="C255" s="17">
        <v>9780071761123</v>
      </c>
      <c r="D255" s="17">
        <v>9780071761123</v>
      </c>
      <c r="E255" s="16" t="s">
        <v>7054</v>
      </c>
      <c r="F255" s="16" t="s">
        <v>17</v>
      </c>
      <c r="G255" s="16" t="s">
        <v>17</v>
      </c>
      <c r="H255" s="16" t="s">
        <v>17</v>
      </c>
      <c r="I255" s="16" t="s">
        <v>17</v>
      </c>
      <c r="J255" s="16" t="s">
        <v>17</v>
      </c>
      <c r="K255" s="16" t="s">
        <v>1137</v>
      </c>
      <c r="L255" s="16" t="s">
        <v>8060</v>
      </c>
      <c r="M255" s="16" t="s">
        <v>8059</v>
      </c>
      <c r="N255" s="16" t="s">
        <v>17</v>
      </c>
      <c r="O255" s="16" t="s">
        <v>6921</v>
      </c>
      <c r="P255" s="16" t="s">
        <v>17</v>
      </c>
      <c r="Q255" s="16" t="s">
        <v>6922</v>
      </c>
      <c r="R255" s="16" t="s">
        <v>6923</v>
      </c>
      <c r="S255" s="16" t="s">
        <v>17</v>
      </c>
      <c r="T255" s="16" t="s">
        <v>7054</v>
      </c>
      <c r="U255" s="16" t="s">
        <v>17</v>
      </c>
      <c r="V255" s="16" t="s">
        <v>7024</v>
      </c>
      <c r="W255" s="16" t="s">
        <v>17</v>
      </c>
      <c r="X255" s="16" t="s">
        <v>8059</v>
      </c>
      <c r="Y255" s="16" t="s">
        <v>17</v>
      </c>
      <c r="Z255" s="16" t="s">
        <v>6926</v>
      </c>
    </row>
    <row r="256" spans="1:26" x14ac:dyDescent="0.3">
      <c r="A256" s="16">
        <v>255</v>
      </c>
      <c r="B256" s="16" t="s">
        <v>7443</v>
      </c>
      <c r="C256" s="17">
        <v>9781259587665</v>
      </c>
      <c r="D256" s="17">
        <v>9781259587665</v>
      </c>
      <c r="E256" s="16" t="s">
        <v>7444</v>
      </c>
      <c r="F256" s="16" t="s">
        <v>17</v>
      </c>
      <c r="G256" s="16" t="s">
        <v>17</v>
      </c>
      <c r="H256" s="16" t="s">
        <v>17</v>
      </c>
      <c r="I256" s="16" t="s">
        <v>17</v>
      </c>
      <c r="J256" s="16" t="s">
        <v>17</v>
      </c>
      <c r="K256" s="16" t="s">
        <v>455</v>
      </c>
      <c r="L256" s="16" t="s">
        <v>7445</v>
      </c>
      <c r="M256" s="16" t="s">
        <v>7443</v>
      </c>
      <c r="N256" s="16" t="s">
        <v>17</v>
      </c>
      <c r="O256" s="16" t="s">
        <v>6921</v>
      </c>
      <c r="P256" s="16" t="s">
        <v>17</v>
      </c>
      <c r="Q256" s="16" t="s">
        <v>6922</v>
      </c>
      <c r="R256" s="16" t="s">
        <v>6923</v>
      </c>
      <c r="S256" s="16" t="s">
        <v>17</v>
      </c>
      <c r="T256" s="16" t="s">
        <v>7444</v>
      </c>
      <c r="U256" s="16" t="s">
        <v>17</v>
      </c>
      <c r="V256" s="16" t="s">
        <v>6929</v>
      </c>
      <c r="W256" s="16" t="s">
        <v>17</v>
      </c>
      <c r="X256" s="16" t="s">
        <v>7443</v>
      </c>
      <c r="Y256" s="16" t="s">
        <v>17</v>
      </c>
      <c r="Z256" s="16" t="s">
        <v>6926</v>
      </c>
    </row>
    <row r="257" spans="1:26" x14ac:dyDescent="0.3">
      <c r="A257" s="16">
        <v>256</v>
      </c>
      <c r="B257" s="16" t="s">
        <v>8235</v>
      </c>
      <c r="C257" s="17">
        <v>9781260460254</v>
      </c>
      <c r="D257" s="17">
        <v>9781260460254</v>
      </c>
      <c r="E257" s="16" t="s">
        <v>8236</v>
      </c>
      <c r="F257" s="16" t="s">
        <v>17</v>
      </c>
      <c r="G257" s="16" t="s">
        <v>17</v>
      </c>
      <c r="H257" s="16" t="s">
        <v>17</v>
      </c>
      <c r="I257" s="16" t="s">
        <v>17</v>
      </c>
      <c r="J257" s="16" t="s">
        <v>17</v>
      </c>
      <c r="K257" s="16" t="s">
        <v>1313</v>
      </c>
      <c r="L257" s="16" t="s">
        <v>8237</v>
      </c>
      <c r="M257" s="16" t="s">
        <v>8235</v>
      </c>
      <c r="N257" s="16" t="s">
        <v>17</v>
      </c>
      <c r="O257" s="16" t="s">
        <v>6921</v>
      </c>
      <c r="P257" s="16" t="s">
        <v>17</v>
      </c>
      <c r="Q257" s="16" t="s">
        <v>6922</v>
      </c>
      <c r="R257" s="16" t="s">
        <v>6923</v>
      </c>
      <c r="S257" s="16" t="s">
        <v>17</v>
      </c>
      <c r="T257" s="16" t="s">
        <v>8236</v>
      </c>
      <c r="U257" s="16" t="s">
        <v>17</v>
      </c>
      <c r="V257" s="16" t="s">
        <v>6929</v>
      </c>
      <c r="W257" s="16" t="s">
        <v>17</v>
      </c>
      <c r="X257" s="16" t="s">
        <v>8235</v>
      </c>
      <c r="Y257" s="16" t="s">
        <v>17</v>
      </c>
      <c r="Z257" s="16" t="s">
        <v>6926</v>
      </c>
    </row>
    <row r="258" spans="1:26" x14ac:dyDescent="0.3">
      <c r="A258" s="16">
        <v>257</v>
      </c>
      <c r="B258" s="16" t="s">
        <v>7881</v>
      </c>
      <c r="C258" s="17">
        <v>9781260459098</v>
      </c>
      <c r="D258" s="17">
        <v>9781260459098</v>
      </c>
      <c r="E258" s="16" t="s">
        <v>7736</v>
      </c>
      <c r="F258" s="16" t="s">
        <v>17</v>
      </c>
      <c r="G258" s="16" t="s">
        <v>17</v>
      </c>
      <c r="H258" s="16" t="s">
        <v>17</v>
      </c>
      <c r="I258" s="16" t="s">
        <v>17</v>
      </c>
      <c r="J258" s="16" t="s">
        <v>17</v>
      </c>
      <c r="K258" s="16" t="s">
        <v>879</v>
      </c>
      <c r="L258" s="16" t="s">
        <v>658</v>
      </c>
      <c r="M258" s="16" t="s">
        <v>7881</v>
      </c>
      <c r="N258" s="16" t="s">
        <v>17</v>
      </c>
      <c r="O258" s="16" t="s">
        <v>6921</v>
      </c>
      <c r="P258" s="16" t="s">
        <v>17</v>
      </c>
      <c r="Q258" s="16" t="s">
        <v>6922</v>
      </c>
      <c r="R258" s="16" t="s">
        <v>6923</v>
      </c>
      <c r="S258" s="16" t="s">
        <v>17</v>
      </c>
      <c r="T258" s="16" t="s">
        <v>7736</v>
      </c>
      <c r="U258" s="16" t="s">
        <v>17</v>
      </c>
      <c r="V258" s="16" t="s">
        <v>6929</v>
      </c>
      <c r="W258" s="16" t="s">
        <v>17</v>
      </c>
      <c r="X258" s="16" t="s">
        <v>7881</v>
      </c>
      <c r="Y258" s="16" t="s">
        <v>17</v>
      </c>
      <c r="Z258" s="16" t="s">
        <v>6926</v>
      </c>
    </row>
    <row r="259" spans="1:26" x14ac:dyDescent="0.3">
      <c r="A259" s="16">
        <v>258</v>
      </c>
      <c r="B259" s="16" t="s">
        <v>8039</v>
      </c>
      <c r="C259" s="17">
        <v>9781259585098</v>
      </c>
      <c r="D259" s="17">
        <v>9781259585098</v>
      </c>
      <c r="E259" s="16" t="s">
        <v>7083</v>
      </c>
      <c r="F259" s="16" t="s">
        <v>17</v>
      </c>
      <c r="G259" s="16" t="s">
        <v>17</v>
      </c>
      <c r="H259" s="16" t="s">
        <v>17</v>
      </c>
      <c r="I259" s="16" t="s">
        <v>17</v>
      </c>
      <c r="J259" s="16" t="s">
        <v>17</v>
      </c>
      <c r="K259" s="16" t="s">
        <v>1109</v>
      </c>
      <c r="L259" s="16" t="s">
        <v>8040</v>
      </c>
      <c r="M259" s="16" t="s">
        <v>8039</v>
      </c>
      <c r="N259" s="16" t="s">
        <v>17</v>
      </c>
      <c r="O259" s="16" t="s">
        <v>6921</v>
      </c>
      <c r="P259" s="16" t="s">
        <v>17</v>
      </c>
      <c r="Q259" s="16" t="s">
        <v>6922</v>
      </c>
      <c r="R259" s="16" t="s">
        <v>6923</v>
      </c>
      <c r="S259" s="16" t="s">
        <v>17</v>
      </c>
      <c r="T259" s="16" t="s">
        <v>7083</v>
      </c>
      <c r="U259" s="16" t="s">
        <v>17</v>
      </c>
      <c r="V259" s="16" t="s">
        <v>6949</v>
      </c>
      <c r="W259" s="16" t="s">
        <v>17</v>
      </c>
      <c r="X259" s="16" t="s">
        <v>8039</v>
      </c>
      <c r="Y259" s="16" t="s">
        <v>17</v>
      </c>
      <c r="Z259" s="16" t="s">
        <v>6926</v>
      </c>
    </row>
    <row r="260" spans="1:26" x14ac:dyDescent="0.3">
      <c r="A260" s="16">
        <v>259</v>
      </c>
      <c r="B260" s="16" t="s">
        <v>8039</v>
      </c>
      <c r="C260" s="17">
        <v>9781260456400</v>
      </c>
      <c r="D260" s="17">
        <v>9781260456400</v>
      </c>
      <c r="E260" s="16" t="s">
        <v>7567</v>
      </c>
      <c r="F260" s="16" t="s">
        <v>17</v>
      </c>
      <c r="G260" s="16" t="s">
        <v>17</v>
      </c>
      <c r="H260" s="16" t="s">
        <v>17</v>
      </c>
      <c r="I260" s="16" t="s">
        <v>17</v>
      </c>
      <c r="J260" s="16" t="s">
        <v>17</v>
      </c>
      <c r="K260" s="16" t="s">
        <v>1227</v>
      </c>
      <c r="L260" s="16" t="s">
        <v>8040</v>
      </c>
      <c r="M260" s="16" t="s">
        <v>8039</v>
      </c>
      <c r="N260" s="16" t="s">
        <v>17</v>
      </c>
      <c r="O260" s="16" t="s">
        <v>6921</v>
      </c>
      <c r="P260" s="16" t="s">
        <v>17</v>
      </c>
      <c r="Q260" s="16" t="s">
        <v>6922</v>
      </c>
      <c r="R260" s="16" t="s">
        <v>6923</v>
      </c>
      <c r="S260" s="16" t="s">
        <v>17</v>
      </c>
      <c r="T260" s="16" t="s">
        <v>7567</v>
      </c>
      <c r="U260" s="16" t="s">
        <v>17</v>
      </c>
      <c r="V260" s="16" t="s">
        <v>7024</v>
      </c>
      <c r="W260" s="16" t="s">
        <v>17</v>
      </c>
      <c r="X260" s="16" t="s">
        <v>8039</v>
      </c>
      <c r="Y260" s="16" t="s">
        <v>17</v>
      </c>
      <c r="Z260" s="16" t="s">
        <v>6926</v>
      </c>
    </row>
    <row r="261" spans="1:26" x14ac:dyDescent="0.3">
      <c r="A261" s="16">
        <v>260</v>
      </c>
      <c r="B261" s="16" t="s">
        <v>363</v>
      </c>
      <c r="C261" s="17">
        <v>9780071787789</v>
      </c>
      <c r="D261" s="17">
        <v>9780071787789</v>
      </c>
      <c r="E261" s="16" t="s">
        <v>7345</v>
      </c>
      <c r="F261" s="16" t="s">
        <v>17</v>
      </c>
      <c r="G261" s="16" t="s">
        <v>17</v>
      </c>
      <c r="H261" s="16" t="s">
        <v>17</v>
      </c>
      <c r="I261" s="16" t="s">
        <v>17</v>
      </c>
      <c r="J261" s="16" t="s">
        <v>17</v>
      </c>
      <c r="K261" s="16" t="s">
        <v>365</v>
      </c>
      <c r="L261" s="16" t="s">
        <v>364</v>
      </c>
      <c r="M261" s="16" t="s">
        <v>363</v>
      </c>
      <c r="N261" s="16" t="s">
        <v>17</v>
      </c>
      <c r="O261" s="16" t="s">
        <v>6921</v>
      </c>
      <c r="P261" s="16" t="s">
        <v>17</v>
      </c>
      <c r="Q261" s="16" t="s">
        <v>6922</v>
      </c>
      <c r="R261" s="16" t="s">
        <v>6923</v>
      </c>
      <c r="S261" s="16" t="s">
        <v>17</v>
      </c>
      <c r="T261" s="16" t="s">
        <v>7345</v>
      </c>
      <c r="U261" s="16" t="s">
        <v>17</v>
      </c>
      <c r="V261" s="16" t="s">
        <v>7183</v>
      </c>
      <c r="W261" s="16" t="s">
        <v>17</v>
      </c>
      <c r="X261" s="16" t="s">
        <v>363</v>
      </c>
      <c r="Y261" s="16" t="s">
        <v>17</v>
      </c>
      <c r="Z261" s="16" t="s">
        <v>6926</v>
      </c>
    </row>
    <row r="262" spans="1:26" x14ac:dyDescent="0.3">
      <c r="A262" s="16">
        <v>261</v>
      </c>
      <c r="B262" s="16" t="s">
        <v>7833</v>
      </c>
      <c r="C262" s="17">
        <v>9781259589782</v>
      </c>
      <c r="D262" s="17">
        <v>9781259589782</v>
      </c>
      <c r="E262" s="16" t="s">
        <v>7067</v>
      </c>
      <c r="F262" s="16" t="s">
        <v>17</v>
      </c>
      <c r="G262" s="16" t="s">
        <v>17</v>
      </c>
      <c r="H262" s="16" t="s">
        <v>17</v>
      </c>
      <c r="I262" s="16" t="s">
        <v>17</v>
      </c>
      <c r="J262" s="16" t="s">
        <v>17</v>
      </c>
      <c r="K262" s="16" t="s">
        <v>814</v>
      </c>
      <c r="L262" s="16" t="s">
        <v>813</v>
      </c>
      <c r="M262" s="16" t="s">
        <v>7833</v>
      </c>
      <c r="N262" s="16" t="s">
        <v>17</v>
      </c>
      <c r="O262" s="16" t="s">
        <v>6921</v>
      </c>
      <c r="P262" s="16" t="s">
        <v>17</v>
      </c>
      <c r="Q262" s="16" t="s">
        <v>6922</v>
      </c>
      <c r="R262" s="16" t="s">
        <v>6923</v>
      </c>
      <c r="S262" s="16" t="s">
        <v>17</v>
      </c>
      <c r="T262" s="16" t="s">
        <v>7067</v>
      </c>
      <c r="U262" s="16" t="s">
        <v>17</v>
      </c>
      <c r="V262" s="16" t="s">
        <v>6929</v>
      </c>
      <c r="W262" s="16" t="s">
        <v>17</v>
      </c>
      <c r="X262" s="16" t="s">
        <v>7833</v>
      </c>
      <c r="Y262" s="16" t="s">
        <v>17</v>
      </c>
      <c r="Z262" s="16" t="s">
        <v>6926</v>
      </c>
    </row>
    <row r="263" spans="1:26" x14ac:dyDescent="0.3">
      <c r="A263" s="16">
        <v>262</v>
      </c>
      <c r="B263" s="16" t="s">
        <v>7468</v>
      </c>
      <c r="C263" s="17">
        <v>9781260460537</v>
      </c>
      <c r="D263" s="17">
        <v>9781260460537</v>
      </c>
      <c r="E263" s="16" t="s">
        <v>7469</v>
      </c>
      <c r="F263" s="16" t="s">
        <v>17</v>
      </c>
      <c r="G263" s="16" t="s">
        <v>17</v>
      </c>
      <c r="H263" s="16" t="s">
        <v>17</v>
      </c>
      <c r="I263" s="16" t="s">
        <v>17</v>
      </c>
      <c r="J263" s="16" t="s">
        <v>17</v>
      </c>
      <c r="K263" s="16" t="s">
        <v>475</v>
      </c>
      <c r="L263" s="16" t="s">
        <v>7470</v>
      </c>
      <c r="M263" s="16" t="s">
        <v>7468</v>
      </c>
      <c r="N263" s="16" t="s">
        <v>17</v>
      </c>
      <c r="O263" s="16" t="s">
        <v>6921</v>
      </c>
      <c r="P263" s="16" t="s">
        <v>17</v>
      </c>
      <c r="Q263" s="16" t="s">
        <v>6922</v>
      </c>
      <c r="R263" s="16" t="s">
        <v>6923</v>
      </c>
      <c r="S263" s="16" t="s">
        <v>17</v>
      </c>
      <c r="T263" s="16" t="s">
        <v>7469</v>
      </c>
      <c r="U263" s="16" t="s">
        <v>17</v>
      </c>
      <c r="V263" s="16" t="s">
        <v>6929</v>
      </c>
      <c r="W263" s="16" t="s">
        <v>17</v>
      </c>
      <c r="X263" s="16" t="s">
        <v>7468</v>
      </c>
      <c r="Y263" s="16" t="s">
        <v>17</v>
      </c>
      <c r="Z263" s="16" t="s">
        <v>6926</v>
      </c>
    </row>
    <row r="264" spans="1:26" x14ac:dyDescent="0.3">
      <c r="A264" s="16">
        <v>263</v>
      </c>
      <c r="B264" s="16" t="s">
        <v>6978</v>
      </c>
      <c r="C264" s="17">
        <v>9780071826686</v>
      </c>
      <c r="D264" s="17">
        <v>9780071826686</v>
      </c>
      <c r="E264" s="16" t="s">
        <v>6976</v>
      </c>
      <c r="F264" s="16" t="s">
        <v>17</v>
      </c>
      <c r="G264" s="16" t="s">
        <v>17</v>
      </c>
      <c r="H264" s="16" t="s">
        <v>17</v>
      </c>
      <c r="I264" s="16" t="s">
        <v>17</v>
      </c>
      <c r="J264" s="16" t="s">
        <v>17</v>
      </c>
      <c r="K264" s="16" t="s">
        <v>56</v>
      </c>
      <c r="L264" s="16" t="s">
        <v>6979</v>
      </c>
      <c r="M264" s="16" t="s">
        <v>6978</v>
      </c>
      <c r="N264" s="16" t="s">
        <v>17</v>
      </c>
      <c r="O264" s="16" t="s">
        <v>6921</v>
      </c>
      <c r="P264" s="16" t="s">
        <v>17</v>
      </c>
      <c r="Q264" s="16" t="s">
        <v>6922</v>
      </c>
      <c r="R264" s="16" t="s">
        <v>6923</v>
      </c>
      <c r="S264" s="16" t="s">
        <v>17</v>
      </c>
      <c r="T264" s="16" t="s">
        <v>6976</v>
      </c>
      <c r="U264" s="16" t="s">
        <v>17</v>
      </c>
      <c r="V264" s="16" t="s">
        <v>6929</v>
      </c>
      <c r="W264" s="16" t="s">
        <v>17</v>
      </c>
      <c r="X264" s="16" t="s">
        <v>6978</v>
      </c>
      <c r="Y264" s="16" t="s">
        <v>17</v>
      </c>
      <c r="Z264" s="16" t="s">
        <v>6926</v>
      </c>
    </row>
    <row r="265" spans="1:26" x14ac:dyDescent="0.3">
      <c r="A265" s="16">
        <v>264</v>
      </c>
      <c r="B265" s="16" t="s">
        <v>7625</v>
      </c>
      <c r="C265" s="17">
        <v>9780071489935</v>
      </c>
      <c r="D265" s="17">
        <v>9780071489935</v>
      </c>
      <c r="E265" s="16" t="s">
        <v>6920</v>
      </c>
      <c r="F265" s="16" t="s">
        <v>17</v>
      </c>
      <c r="G265" s="16" t="s">
        <v>17</v>
      </c>
      <c r="H265" s="16" t="s">
        <v>17</v>
      </c>
      <c r="I265" s="16" t="s">
        <v>17</v>
      </c>
      <c r="J265" s="16" t="s">
        <v>17</v>
      </c>
      <c r="K265" s="16" t="s">
        <v>616</v>
      </c>
      <c r="L265" s="16" t="s">
        <v>615</v>
      </c>
      <c r="M265" s="16" t="s">
        <v>7625</v>
      </c>
      <c r="N265" s="16" t="s">
        <v>17</v>
      </c>
      <c r="O265" s="16" t="s">
        <v>6921</v>
      </c>
      <c r="P265" s="16" t="s">
        <v>17</v>
      </c>
      <c r="Q265" s="16" t="s">
        <v>6922</v>
      </c>
      <c r="R265" s="16" t="s">
        <v>6923</v>
      </c>
      <c r="S265" s="16" t="s">
        <v>17</v>
      </c>
      <c r="T265" s="16" t="s">
        <v>6920</v>
      </c>
      <c r="U265" s="16" t="s">
        <v>17</v>
      </c>
      <c r="V265" s="16" t="s">
        <v>6929</v>
      </c>
      <c r="W265" s="16" t="s">
        <v>17</v>
      </c>
      <c r="X265" s="16" t="s">
        <v>7625</v>
      </c>
      <c r="Y265" s="16" t="s">
        <v>17</v>
      </c>
      <c r="Z265" s="16" t="s">
        <v>6926</v>
      </c>
    </row>
    <row r="266" spans="1:26" x14ac:dyDescent="0.3">
      <c r="A266" s="16">
        <v>265</v>
      </c>
      <c r="B266" s="16" t="s">
        <v>8243</v>
      </c>
      <c r="C266" s="17">
        <v>9781259641978</v>
      </c>
      <c r="D266" s="17">
        <v>9781259641978</v>
      </c>
      <c r="E266" s="16" t="s">
        <v>8244</v>
      </c>
      <c r="F266" s="16" t="s">
        <v>17</v>
      </c>
      <c r="G266" s="16" t="s">
        <v>17</v>
      </c>
      <c r="H266" s="16" t="s">
        <v>17</v>
      </c>
      <c r="I266" s="16" t="s">
        <v>17</v>
      </c>
      <c r="J266" s="16" t="s">
        <v>17</v>
      </c>
      <c r="K266" s="16" t="s">
        <v>1316</v>
      </c>
      <c r="L266" s="16" t="s">
        <v>8245</v>
      </c>
      <c r="M266" s="16" t="s">
        <v>8243</v>
      </c>
      <c r="N266" s="16" t="s">
        <v>17</v>
      </c>
      <c r="O266" s="16" t="s">
        <v>6921</v>
      </c>
      <c r="P266" s="16" t="s">
        <v>17</v>
      </c>
      <c r="Q266" s="16" t="s">
        <v>6922</v>
      </c>
      <c r="R266" s="16" t="s">
        <v>6923</v>
      </c>
      <c r="S266" s="16" t="s">
        <v>17</v>
      </c>
      <c r="T266" s="16" t="s">
        <v>8244</v>
      </c>
      <c r="U266" s="16" t="s">
        <v>17</v>
      </c>
      <c r="V266" s="16" t="s">
        <v>6929</v>
      </c>
      <c r="W266" s="16" t="s">
        <v>17</v>
      </c>
      <c r="X266" s="16" t="s">
        <v>8243</v>
      </c>
      <c r="Y266" s="16" t="s">
        <v>17</v>
      </c>
      <c r="Z266" s="16" t="s">
        <v>6926</v>
      </c>
    </row>
    <row r="267" spans="1:26" x14ac:dyDescent="0.3">
      <c r="A267" s="16">
        <v>266</v>
      </c>
      <c r="B267" s="16" t="s">
        <v>7795</v>
      </c>
      <c r="C267" s="17">
        <v>9780071457675</v>
      </c>
      <c r="D267" s="17">
        <v>9780071457675</v>
      </c>
      <c r="E267" s="16" t="s">
        <v>6968</v>
      </c>
      <c r="F267" s="16" t="s">
        <v>17</v>
      </c>
      <c r="G267" s="16" t="s">
        <v>17</v>
      </c>
      <c r="H267" s="16" t="s">
        <v>17</v>
      </c>
      <c r="I267" s="16" t="s">
        <v>17</v>
      </c>
      <c r="J267" s="16" t="s">
        <v>17</v>
      </c>
      <c r="K267" s="16" t="s">
        <v>770</v>
      </c>
      <c r="L267" s="16" t="s">
        <v>17</v>
      </c>
      <c r="M267" s="16" t="s">
        <v>7795</v>
      </c>
      <c r="N267" s="16" t="s">
        <v>17</v>
      </c>
      <c r="O267" s="16" t="s">
        <v>6921</v>
      </c>
      <c r="P267" s="16" t="s">
        <v>17</v>
      </c>
      <c r="Q267" s="16" t="s">
        <v>6922</v>
      </c>
      <c r="R267" s="16" t="s">
        <v>6923</v>
      </c>
      <c r="S267" s="16" t="s">
        <v>17</v>
      </c>
      <c r="T267" s="16" t="s">
        <v>6968</v>
      </c>
      <c r="U267" s="16" t="s">
        <v>17</v>
      </c>
      <c r="V267" s="16" t="s">
        <v>6929</v>
      </c>
      <c r="W267" s="16" t="s">
        <v>7796</v>
      </c>
      <c r="X267" s="16" t="s">
        <v>7795</v>
      </c>
      <c r="Y267" s="16" t="s">
        <v>17</v>
      </c>
      <c r="Z267" s="16" t="s">
        <v>6926</v>
      </c>
    </row>
    <row r="268" spans="1:26" x14ac:dyDescent="0.3">
      <c r="A268" s="16">
        <v>267</v>
      </c>
      <c r="B268" s="16" t="s">
        <v>7867</v>
      </c>
      <c r="C268" s="17">
        <v>9780071799966</v>
      </c>
      <c r="D268" s="17">
        <v>9780071799966</v>
      </c>
      <c r="E268" s="16" t="s">
        <v>7521</v>
      </c>
      <c r="F268" s="16" t="s">
        <v>17</v>
      </c>
      <c r="G268" s="16" t="s">
        <v>17</v>
      </c>
      <c r="H268" s="16" t="s">
        <v>17</v>
      </c>
      <c r="I268" s="16" t="s">
        <v>17</v>
      </c>
      <c r="J268" s="16" t="s">
        <v>17</v>
      </c>
      <c r="K268" s="16" t="s">
        <v>865</v>
      </c>
      <c r="L268" s="16" t="s">
        <v>7868</v>
      </c>
      <c r="M268" s="16" t="s">
        <v>7867</v>
      </c>
      <c r="N268" s="16" t="s">
        <v>17</v>
      </c>
      <c r="O268" s="16" t="s">
        <v>6921</v>
      </c>
      <c r="P268" s="16" t="s">
        <v>17</v>
      </c>
      <c r="Q268" s="16" t="s">
        <v>6922</v>
      </c>
      <c r="R268" s="16" t="s">
        <v>6923</v>
      </c>
      <c r="S268" s="16" t="s">
        <v>17</v>
      </c>
      <c r="T268" s="16" t="s">
        <v>7521</v>
      </c>
      <c r="U268" s="16" t="s">
        <v>17</v>
      </c>
      <c r="V268" s="16" t="s">
        <v>6929</v>
      </c>
      <c r="W268" s="16" t="s">
        <v>17</v>
      </c>
      <c r="X268" s="16" t="s">
        <v>7867</v>
      </c>
      <c r="Y268" s="16" t="s">
        <v>17</v>
      </c>
      <c r="Z268" s="16" t="s">
        <v>6926</v>
      </c>
    </row>
    <row r="269" spans="1:26" x14ac:dyDescent="0.3">
      <c r="A269" s="16">
        <v>268</v>
      </c>
      <c r="B269" s="16" t="s">
        <v>947</v>
      </c>
      <c r="C269" s="17">
        <v>9780071815369</v>
      </c>
      <c r="D269" s="17">
        <v>9780071815369</v>
      </c>
      <c r="E269" s="16" t="s">
        <v>7185</v>
      </c>
      <c r="F269" s="16" t="s">
        <v>17</v>
      </c>
      <c r="G269" s="16" t="s">
        <v>17</v>
      </c>
      <c r="H269" s="16" t="s">
        <v>17</v>
      </c>
      <c r="I269" s="16" t="s">
        <v>17</v>
      </c>
      <c r="J269" s="16" t="s">
        <v>17</v>
      </c>
      <c r="K269" s="16" t="s">
        <v>949</v>
      </c>
      <c r="L269" s="16" t="s">
        <v>948</v>
      </c>
      <c r="M269" s="16" t="s">
        <v>947</v>
      </c>
      <c r="N269" s="16" t="s">
        <v>17</v>
      </c>
      <c r="O269" s="16" t="s">
        <v>6921</v>
      </c>
      <c r="P269" s="16" t="s">
        <v>17</v>
      </c>
      <c r="Q269" s="16" t="s">
        <v>6922</v>
      </c>
      <c r="R269" s="16" t="s">
        <v>6923</v>
      </c>
      <c r="S269" s="16" t="s">
        <v>17</v>
      </c>
      <c r="T269" s="16" t="s">
        <v>7185</v>
      </c>
      <c r="U269" s="16" t="s">
        <v>17</v>
      </c>
      <c r="V269" s="16" t="s">
        <v>7049</v>
      </c>
      <c r="W269" s="16" t="s">
        <v>17</v>
      </c>
      <c r="X269" s="16" t="s">
        <v>947</v>
      </c>
      <c r="Y269" s="16" t="s">
        <v>17</v>
      </c>
      <c r="Z269" s="16" t="s">
        <v>6926</v>
      </c>
    </row>
    <row r="270" spans="1:26" x14ac:dyDescent="0.3">
      <c r="A270" s="16">
        <v>269</v>
      </c>
      <c r="B270" s="16" t="s">
        <v>7715</v>
      </c>
      <c r="C270" s="17">
        <v>9780071639620</v>
      </c>
      <c r="D270" s="17">
        <v>9780071639620</v>
      </c>
      <c r="E270" s="16" t="s">
        <v>6920</v>
      </c>
      <c r="F270" s="16" t="s">
        <v>17</v>
      </c>
      <c r="G270" s="16" t="s">
        <v>17</v>
      </c>
      <c r="H270" s="16" t="s">
        <v>17</v>
      </c>
      <c r="I270" s="16" t="s">
        <v>17</v>
      </c>
      <c r="J270" s="16" t="s">
        <v>17</v>
      </c>
      <c r="K270" s="16" t="s">
        <v>701</v>
      </c>
      <c r="L270" s="16" t="s">
        <v>700</v>
      </c>
      <c r="M270" s="16" t="s">
        <v>7715</v>
      </c>
      <c r="N270" s="16" t="s">
        <v>17</v>
      </c>
      <c r="O270" s="16" t="s">
        <v>6921</v>
      </c>
      <c r="P270" s="16" t="s">
        <v>17</v>
      </c>
      <c r="Q270" s="16" t="s">
        <v>6922</v>
      </c>
      <c r="R270" s="16" t="s">
        <v>6923</v>
      </c>
      <c r="S270" s="16" t="s">
        <v>17</v>
      </c>
      <c r="T270" s="16" t="s">
        <v>6920</v>
      </c>
      <c r="U270" s="16" t="s">
        <v>17</v>
      </c>
      <c r="V270" s="16" t="s">
        <v>6929</v>
      </c>
      <c r="W270" s="16" t="s">
        <v>17</v>
      </c>
      <c r="X270" s="16" t="s">
        <v>7715</v>
      </c>
      <c r="Y270" s="16" t="s">
        <v>17</v>
      </c>
      <c r="Z270" s="16" t="s">
        <v>6926</v>
      </c>
    </row>
    <row r="271" spans="1:26" x14ac:dyDescent="0.3">
      <c r="A271" s="16">
        <v>270</v>
      </c>
      <c r="B271" s="16" t="s">
        <v>8345</v>
      </c>
      <c r="C271" s="17">
        <v>9780071825399</v>
      </c>
      <c r="D271" s="17">
        <v>9780071825399</v>
      </c>
      <c r="E271" s="16" t="s">
        <v>6965</v>
      </c>
      <c r="F271" s="16" t="s">
        <v>17</v>
      </c>
      <c r="G271" s="16" t="s">
        <v>17</v>
      </c>
      <c r="H271" s="16" t="s">
        <v>17</v>
      </c>
      <c r="I271" s="16" t="s">
        <v>17</v>
      </c>
      <c r="J271" s="16" t="s">
        <v>17</v>
      </c>
      <c r="K271" s="16" t="s">
        <v>1453</v>
      </c>
      <c r="L271" s="16" t="s">
        <v>542</v>
      </c>
      <c r="M271" s="16" t="s">
        <v>8345</v>
      </c>
      <c r="N271" s="16" t="s">
        <v>17</v>
      </c>
      <c r="O271" s="16" t="s">
        <v>6921</v>
      </c>
      <c r="P271" s="16" t="s">
        <v>17</v>
      </c>
      <c r="Q271" s="16" t="s">
        <v>6922</v>
      </c>
      <c r="R271" s="16" t="s">
        <v>6923</v>
      </c>
      <c r="S271" s="16" t="s">
        <v>17</v>
      </c>
      <c r="T271" s="16" t="s">
        <v>6965</v>
      </c>
      <c r="U271" s="16" t="s">
        <v>17</v>
      </c>
      <c r="V271" s="16" t="s">
        <v>6949</v>
      </c>
      <c r="W271" s="16" t="s">
        <v>17</v>
      </c>
      <c r="X271" s="16" t="s">
        <v>8345</v>
      </c>
      <c r="Y271" s="16" t="s">
        <v>17</v>
      </c>
      <c r="Z271" s="16" t="s">
        <v>6926</v>
      </c>
    </row>
    <row r="272" spans="1:26" x14ac:dyDescent="0.3">
      <c r="A272" s="16">
        <v>271</v>
      </c>
      <c r="B272" s="16" t="s">
        <v>7548</v>
      </c>
      <c r="C272" s="17">
        <v>9781260461442</v>
      </c>
      <c r="D272" s="17">
        <v>9781260461442</v>
      </c>
      <c r="E272" s="16" t="s">
        <v>7401</v>
      </c>
      <c r="F272" s="16" t="s">
        <v>17</v>
      </c>
      <c r="G272" s="16" t="s">
        <v>17</v>
      </c>
      <c r="H272" s="16" t="s">
        <v>17</v>
      </c>
      <c r="I272" s="16" t="s">
        <v>17</v>
      </c>
      <c r="J272" s="16" t="s">
        <v>17</v>
      </c>
      <c r="K272" s="16" t="s">
        <v>543</v>
      </c>
      <c r="L272" s="16" t="s">
        <v>542</v>
      </c>
      <c r="M272" s="16" t="s">
        <v>7548</v>
      </c>
      <c r="N272" s="16" t="s">
        <v>17</v>
      </c>
      <c r="O272" s="16" t="s">
        <v>6921</v>
      </c>
      <c r="P272" s="16" t="s">
        <v>17</v>
      </c>
      <c r="Q272" s="16" t="s">
        <v>6922</v>
      </c>
      <c r="R272" s="16" t="s">
        <v>6923</v>
      </c>
      <c r="S272" s="16" t="s">
        <v>17</v>
      </c>
      <c r="T272" s="16" t="s">
        <v>7401</v>
      </c>
      <c r="U272" s="16" t="s">
        <v>17</v>
      </c>
      <c r="V272" s="16" t="s">
        <v>7024</v>
      </c>
      <c r="W272" s="16" t="s">
        <v>17</v>
      </c>
      <c r="X272" s="16" t="s">
        <v>7548</v>
      </c>
      <c r="Y272" s="16" t="s">
        <v>17</v>
      </c>
      <c r="Z272" s="16" t="s">
        <v>6926</v>
      </c>
    </row>
    <row r="273" spans="1:26" x14ac:dyDescent="0.3">
      <c r="A273" s="16">
        <v>272</v>
      </c>
      <c r="B273" s="16" t="s">
        <v>8052</v>
      </c>
      <c r="C273" s="17">
        <v>9781259859175</v>
      </c>
      <c r="D273" s="17">
        <v>9781259859175</v>
      </c>
      <c r="E273" s="16" t="s">
        <v>7829</v>
      </c>
      <c r="F273" s="16" t="s">
        <v>17</v>
      </c>
      <c r="G273" s="16" t="s">
        <v>17</v>
      </c>
      <c r="H273" s="16" t="s">
        <v>17</v>
      </c>
      <c r="I273" s="16" t="s">
        <v>17</v>
      </c>
      <c r="J273" s="16" t="s">
        <v>17</v>
      </c>
      <c r="K273" s="16" t="s">
        <v>1128</v>
      </c>
      <c r="L273" s="16" t="s">
        <v>1127</v>
      </c>
      <c r="M273" s="16" t="s">
        <v>8052</v>
      </c>
      <c r="N273" s="16" t="s">
        <v>17</v>
      </c>
      <c r="O273" s="16" t="s">
        <v>6921</v>
      </c>
      <c r="P273" s="16" t="s">
        <v>17</v>
      </c>
      <c r="Q273" s="16" t="s">
        <v>6922</v>
      </c>
      <c r="R273" s="16" t="s">
        <v>6923</v>
      </c>
      <c r="S273" s="16" t="s">
        <v>17</v>
      </c>
      <c r="T273" s="16" t="s">
        <v>7829</v>
      </c>
      <c r="U273" s="16" t="s">
        <v>17</v>
      </c>
      <c r="V273" s="16" t="s">
        <v>6929</v>
      </c>
      <c r="W273" s="16" t="s">
        <v>17</v>
      </c>
      <c r="X273" s="16" t="s">
        <v>8052</v>
      </c>
      <c r="Y273" s="16" t="s">
        <v>17</v>
      </c>
      <c r="Z273" s="16" t="s">
        <v>6926</v>
      </c>
    </row>
    <row r="274" spans="1:26" x14ac:dyDescent="0.3">
      <c r="A274" s="16">
        <v>273</v>
      </c>
      <c r="B274" s="16" t="s">
        <v>7964</v>
      </c>
      <c r="C274" s="17">
        <v>9780071835466</v>
      </c>
      <c r="D274" s="17">
        <v>9780071835466</v>
      </c>
      <c r="E274" s="16" t="s">
        <v>6991</v>
      </c>
      <c r="F274" s="16" t="s">
        <v>17</v>
      </c>
      <c r="G274" s="16" t="s">
        <v>17</v>
      </c>
      <c r="H274" s="16" t="s">
        <v>17</v>
      </c>
      <c r="I274" s="16" t="s">
        <v>17</v>
      </c>
      <c r="J274" s="16" t="s">
        <v>17</v>
      </c>
      <c r="K274" s="16" t="s">
        <v>999</v>
      </c>
      <c r="L274" s="16" t="s">
        <v>7965</v>
      </c>
      <c r="M274" s="16" t="s">
        <v>7964</v>
      </c>
      <c r="N274" s="16" t="s">
        <v>17</v>
      </c>
      <c r="O274" s="16" t="s">
        <v>6921</v>
      </c>
      <c r="P274" s="16" t="s">
        <v>17</v>
      </c>
      <c r="Q274" s="16" t="s">
        <v>6922</v>
      </c>
      <c r="R274" s="16" t="s">
        <v>6923</v>
      </c>
      <c r="S274" s="16" t="s">
        <v>17</v>
      </c>
      <c r="T274" s="16" t="s">
        <v>6991</v>
      </c>
      <c r="U274" s="16" t="s">
        <v>17</v>
      </c>
      <c r="V274" s="16" t="s">
        <v>6929</v>
      </c>
      <c r="W274" s="16" t="s">
        <v>17</v>
      </c>
      <c r="X274" s="16" t="s">
        <v>7964</v>
      </c>
      <c r="Y274" s="16" t="s">
        <v>17</v>
      </c>
      <c r="Z274" s="16" t="s">
        <v>6926</v>
      </c>
    </row>
    <row r="275" spans="1:26" x14ac:dyDescent="0.3">
      <c r="A275" s="16">
        <v>274</v>
      </c>
      <c r="B275" s="16" t="s">
        <v>7818</v>
      </c>
      <c r="C275" s="17">
        <v>9780071370080</v>
      </c>
      <c r="D275" s="17">
        <v>9780071370080</v>
      </c>
      <c r="E275" s="16" t="s">
        <v>6920</v>
      </c>
      <c r="F275" s="16" t="s">
        <v>17</v>
      </c>
      <c r="G275" s="16" t="s">
        <v>17</v>
      </c>
      <c r="H275" s="16" t="s">
        <v>17</v>
      </c>
      <c r="I275" s="16" t="s">
        <v>17</v>
      </c>
      <c r="J275" s="16" t="s">
        <v>17</v>
      </c>
      <c r="K275" s="16" t="s">
        <v>794</v>
      </c>
      <c r="L275" s="16" t="s">
        <v>7819</v>
      </c>
      <c r="M275" s="16" t="s">
        <v>7818</v>
      </c>
      <c r="N275" s="16" t="s">
        <v>17</v>
      </c>
      <c r="O275" s="16" t="s">
        <v>6921</v>
      </c>
      <c r="P275" s="16" t="s">
        <v>17</v>
      </c>
      <c r="Q275" s="16" t="s">
        <v>6922</v>
      </c>
      <c r="R275" s="16" t="s">
        <v>6923</v>
      </c>
      <c r="S275" s="16" t="s">
        <v>17</v>
      </c>
      <c r="T275" s="16" t="s">
        <v>6920</v>
      </c>
      <c r="U275" s="16" t="s">
        <v>17</v>
      </c>
      <c r="V275" s="16" t="s">
        <v>6924</v>
      </c>
      <c r="W275" s="16" t="s">
        <v>17</v>
      </c>
      <c r="X275" s="16" t="s">
        <v>7818</v>
      </c>
      <c r="Y275" s="16" t="s">
        <v>17</v>
      </c>
      <c r="Z275" s="16" t="s">
        <v>6926</v>
      </c>
    </row>
    <row r="276" spans="1:26" x14ac:dyDescent="0.3">
      <c r="A276" s="16">
        <v>275</v>
      </c>
      <c r="B276" s="16" t="s">
        <v>1480</v>
      </c>
      <c r="C276" s="17">
        <v>9781260441604</v>
      </c>
      <c r="D276" s="17">
        <v>9781260441604</v>
      </c>
      <c r="E276" s="16" t="s">
        <v>7435</v>
      </c>
      <c r="F276" s="16" t="s">
        <v>17</v>
      </c>
      <c r="G276" s="16" t="s">
        <v>17</v>
      </c>
      <c r="H276" s="16" t="s">
        <v>17</v>
      </c>
      <c r="I276" s="16" t="s">
        <v>17</v>
      </c>
      <c r="J276" s="16" t="s">
        <v>17</v>
      </c>
      <c r="K276" s="16" t="s">
        <v>441</v>
      </c>
      <c r="L276" s="16" t="s">
        <v>7436</v>
      </c>
      <c r="M276" s="16" t="s">
        <v>1480</v>
      </c>
      <c r="N276" s="16" t="s">
        <v>17</v>
      </c>
      <c r="O276" s="16" t="s">
        <v>6921</v>
      </c>
      <c r="P276" s="16" t="s">
        <v>17</v>
      </c>
      <c r="Q276" s="16" t="s">
        <v>6922</v>
      </c>
      <c r="R276" s="16" t="s">
        <v>6923</v>
      </c>
      <c r="S276" s="16" t="s">
        <v>17</v>
      </c>
      <c r="T276" s="16" t="s">
        <v>7435</v>
      </c>
      <c r="U276" s="16" t="s">
        <v>17</v>
      </c>
      <c r="V276" s="16" t="s">
        <v>6924</v>
      </c>
      <c r="W276" s="16" t="s">
        <v>17</v>
      </c>
      <c r="X276" s="16" t="s">
        <v>1480</v>
      </c>
      <c r="Y276" s="16" t="s">
        <v>17</v>
      </c>
      <c r="Z276" s="16" t="s">
        <v>6926</v>
      </c>
    </row>
    <row r="277" spans="1:26" x14ac:dyDescent="0.3">
      <c r="A277" s="16">
        <v>276</v>
      </c>
      <c r="B277" s="16" t="s">
        <v>1480</v>
      </c>
      <c r="C277" s="17">
        <v>9781260440591</v>
      </c>
      <c r="D277" s="17">
        <v>9781260440591</v>
      </c>
      <c r="E277" s="16" t="s">
        <v>8359</v>
      </c>
      <c r="F277" s="16" t="s">
        <v>17</v>
      </c>
      <c r="G277" s="16" t="s">
        <v>17</v>
      </c>
      <c r="H277" s="16" t="s">
        <v>17</v>
      </c>
      <c r="I277" s="16" t="s">
        <v>17</v>
      </c>
      <c r="J277" s="16" t="s">
        <v>17</v>
      </c>
      <c r="K277" s="16" t="s">
        <v>1482</v>
      </c>
      <c r="L277" s="16" t="s">
        <v>1481</v>
      </c>
      <c r="M277" s="16" t="s">
        <v>1480</v>
      </c>
      <c r="N277" s="16" t="s">
        <v>17</v>
      </c>
      <c r="O277" s="16" t="s">
        <v>6921</v>
      </c>
      <c r="P277" s="16" t="s">
        <v>17</v>
      </c>
      <c r="Q277" s="16" t="s">
        <v>6922</v>
      </c>
      <c r="R277" s="16" t="s">
        <v>6923</v>
      </c>
      <c r="S277" s="16" t="s">
        <v>17</v>
      </c>
      <c r="T277" s="16" t="s">
        <v>8359</v>
      </c>
      <c r="U277" s="16" t="s">
        <v>17</v>
      </c>
      <c r="V277" s="16" t="s">
        <v>7049</v>
      </c>
      <c r="W277" s="16" t="s">
        <v>17</v>
      </c>
      <c r="X277" s="16" t="s">
        <v>1480</v>
      </c>
      <c r="Y277" s="16" t="s">
        <v>17</v>
      </c>
      <c r="Z277" s="16" t="s">
        <v>6926</v>
      </c>
    </row>
    <row r="278" spans="1:26" x14ac:dyDescent="0.3">
      <c r="A278" s="16">
        <v>277</v>
      </c>
      <c r="B278" s="16" t="s">
        <v>7109</v>
      </c>
      <c r="C278" s="17">
        <v>9781259058479</v>
      </c>
      <c r="D278" s="17">
        <v>9781259058479</v>
      </c>
      <c r="E278" s="16" t="s">
        <v>6987</v>
      </c>
      <c r="F278" s="16" t="s">
        <v>17</v>
      </c>
      <c r="G278" s="16" t="s">
        <v>17</v>
      </c>
      <c r="H278" s="16" t="s">
        <v>17</v>
      </c>
      <c r="I278" s="16" t="s">
        <v>17</v>
      </c>
      <c r="J278" s="16" t="s">
        <v>17</v>
      </c>
      <c r="K278" s="16" t="s">
        <v>169</v>
      </c>
      <c r="L278" s="16" t="s">
        <v>7110</v>
      </c>
      <c r="M278" s="16" t="s">
        <v>7109</v>
      </c>
      <c r="N278" s="16" t="s">
        <v>17</v>
      </c>
      <c r="O278" s="16" t="s">
        <v>6921</v>
      </c>
      <c r="P278" s="16" t="s">
        <v>17</v>
      </c>
      <c r="Q278" s="16" t="s">
        <v>6922</v>
      </c>
      <c r="R278" s="16" t="s">
        <v>6923</v>
      </c>
      <c r="S278" s="16" t="s">
        <v>17</v>
      </c>
      <c r="T278" s="16" t="s">
        <v>6987</v>
      </c>
      <c r="U278" s="16" t="s">
        <v>17</v>
      </c>
      <c r="V278" s="16" t="s">
        <v>6924</v>
      </c>
      <c r="W278" s="16" t="s">
        <v>17</v>
      </c>
      <c r="X278" s="16" t="s">
        <v>7109</v>
      </c>
      <c r="Y278" s="16" t="s">
        <v>17</v>
      </c>
      <c r="Z278" s="16" t="s">
        <v>6926</v>
      </c>
    </row>
    <row r="279" spans="1:26" x14ac:dyDescent="0.3">
      <c r="A279" s="16">
        <v>278</v>
      </c>
      <c r="B279" s="16" t="s">
        <v>7064</v>
      </c>
      <c r="C279" s="17">
        <v>9780071351768</v>
      </c>
      <c r="D279" s="17">
        <v>9780071351768</v>
      </c>
      <c r="E279" s="16" t="s">
        <v>6920</v>
      </c>
      <c r="F279" s="16" t="s">
        <v>17</v>
      </c>
      <c r="G279" s="16" t="s">
        <v>17</v>
      </c>
      <c r="H279" s="16" t="s">
        <v>17</v>
      </c>
      <c r="I279" s="16" t="s">
        <v>17</v>
      </c>
      <c r="J279" s="16" t="s">
        <v>17</v>
      </c>
      <c r="K279" s="16" t="s">
        <v>127</v>
      </c>
      <c r="L279" s="16" t="s">
        <v>17</v>
      </c>
      <c r="M279" s="16" t="s">
        <v>7064</v>
      </c>
      <c r="N279" s="16" t="s">
        <v>17</v>
      </c>
      <c r="O279" s="16" t="s">
        <v>6921</v>
      </c>
      <c r="P279" s="16" t="s">
        <v>17</v>
      </c>
      <c r="Q279" s="16" t="s">
        <v>6922</v>
      </c>
      <c r="R279" s="16" t="s">
        <v>6923</v>
      </c>
      <c r="S279" s="16" t="s">
        <v>17</v>
      </c>
      <c r="T279" s="16" t="s">
        <v>6920</v>
      </c>
      <c r="U279" s="16" t="s">
        <v>17</v>
      </c>
      <c r="V279" s="16" t="s">
        <v>6929</v>
      </c>
      <c r="W279" s="16" t="s">
        <v>7065</v>
      </c>
      <c r="X279" s="16" t="s">
        <v>7064</v>
      </c>
      <c r="Y279" s="16" t="s">
        <v>17</v>
      </c>
      <c r="Z279" s="16" t="s">
        <v>6926</v>
      </c>
    </row>
    <row r="280" spans="1:26" x14ac:dyDescent="0.3">
      <c r="A280" s="16">
        <v>279</v>
      </c>
      <c r="B280" s="16" t="s">
        <v>1054</v>
      </c>
      <c r="C280" s="17">
        <v>9780071828444</v>
      </c>
      <c r="D280" s="17">
        <v>9780071828444</v>
      </c>
      <c r="E280" s="16" t="s">
        <v>7149</v>
      </c>
      <c r="F280" s="16" t="s">
        <v>17</v>
      </c>
      <c r="G280" s="16" t="s">
        <v>17</v>
      </c>
      <c r="H280" s="16" t="s">
        <v>17</v>
      </c>
      <c r="I280" s="16" t="s">
        <v>17</v>
      </c>
      <c r="J280" s="16" t="s">
        <v>17</v>
      </c>
      <c r="K280" s="16" t="s">
        <v>202</v>
      </c>
      <c r="L280" s="16" t="s">
        <v>17</v>
      </c>
      <c r="M280" s="16" t="s">
        <v>1054</v>
      </c>
      <c r="N280" s="16" t="s">
        <v>17</v>
      </c>
      <c r="O280" s="16" t="s">
        <v>6921</v>
      </c>
      <c r="P280" s="16" t="s">
        <v>17</v>
      </c>
      <c r="Q280" s="16" t="s">
        <v>6922</v>
      </c>
      <c r="R280" s="16" t="s">
        <v>6923</v>
      </c>
      <c r="S280" s="16" t="s">
        <v>17</v>
      </c>
      <c r="T280" s="16" t="s">
        <v>7149</v>
      </c>
      <c r="U280" s="16" t="s">
        <v>17</v>
      </c>
      <c r="V280" s="16" t="s">
        <v>6924</v>
      </c>
      <c r="W280" s="16" t="s">
        <v>7150</v>
      </c>
      <c r="X280" s="16" t="s">
        <v>1054</v>
      </c>
      <c r="Y280" s="16" t="s">
        <v>17</v>
      </c>
      <c r="Z280" s="16" t="s">
        <v>6926</v>
      </c>
    </row>
    <row r="281" spans="1:26" x14ac:dyDescent="0.3">
      <c r="A281" s="16">
        <v>280</v>
      </c>
      <c r="B281" s="16" t="s">
        <v>1054</v>
      </c>
      <c r="C281" s="17">
        <v>9780071477505</v>
      </c>
      <c r="D281" s="17">
        <v>9780071477505</v>
      </c>
      <c r="E281" s="16" t="s">
        <v>6920</v>
      </c>
      <c r="F281" s="16" t="s">
        <v>17</v>
      </c>
      <c r="G281" s="16" t="s">
        <v>17</v>
      </c>
      <c r="H281" s="16" t="s">
        <v>17</v>
      </c>
      <c r="I281" s="16" t="s">
        <v>17</v>
      </c>
      <c r="J281" s="16" t="s">
        <v>17</v>
      </c>
      <c r="K281" s="16" t="s">
        <v>1055</v>
      </c>
      <c r="L281" s="16" t="s">
        <v>200</v>
      </c>
      <c r="M281" s="16" t="s">
        <v>1054</v>
      </c>
      <c r="N281" s="16" t="s">
        <v>17</v>
      </c>
      <c r="O281" s="16" t="s">
        <v>6921</v>
      </c>
      <c r="P281" s="16" t="s">
        <v>17</v>
      </c>
      <c r="Q281" s="16" t="s">
        <v>6922</v>
      </c>
      <c r="R281" s="16" t="s">
        <v>6923</v>
      </c>
      <c r="S281" s="16" t="s">
        <v>17</v>
      </c>
      <c r="T281" s="16" t="s">
        <v>6920</v>
      </c>
      <c r="U281" s="16" t="s">
        <v>17</v>
      </c>
      <c r="V281" s="16" t="s">
        <v>7049</v>
      </c>
      <c r="W281" s="16" t="s">
        <v>17</v>
      </c>
      <c r="X281" s="16" t="s">
        <v>1054</v>
      </c>
      <c r="Y281" s="16" t="s">
        <v>17</v>
      </c>
      <c r="Z281" s="16" t="s">
        <v>6926</v>
      </c>
    </row>
    <row r="282" spans="1:26" x14ac:dyDescent="0.3">
      <c r="A282" s="16">
        <v>281</v>
      </c>
      <c r="B282" s="16" t="s">
        <v>7743</v>
      </c>
      <c r="C282" s="17">
        <v>9781259006050</v>
      </c>
      <c r="D282" s="17">
        <v>9781259006050</v>
      </c>
      <c r="E282" s="16" t="s">
        <v>6991</v>
      </c>
      <c r="F282" s="16" t="s">
        <v>17</v>
      </c>
      <c r="G282" s="16" t="s">
        <v>17</v>
      </c>
      <c r="H282" s="16" t="s">
        <v>17</v>
      </c>
      <c r="I282" s="16" t="s">
        <v>17</v>
      </c>
      <c r="J282" s="16" t="s">
        <v>17</v>
      </c>
      <c r="K282" s="16" t="s">
        <v>731</v>
      </c>
      <c r="L282" s="16" t="s">
        <v>6948</v>
      </c>
      <c r="M282" s="16" t="s">
        <v>7743</v>
      </c>
      <c r="N282" s="16" t="s">
        <v>17</v>
      </c>
      <c r="O282" s="16" t="s">
        <v>6921</v>
      </c>
      <c r="P282" s="16" t="s">
        <v>17</v>
      </c>
      <c r="Q282" s="16" t="s">
        <v>6922</v>
      </c>
      <c r="R282" s="16" t="s">
        <v>6923</v>
      </c>
      <c r="S282" s="16" t="s">
        <v>17</v>
      </c>
      <c r="T282" s="16" t="s">
        <v>6991</v>
      </c>
      <c r="U282" s="16" t="s">
        <v>17</v>
      </c>
      <c r="V282" s="16" t="s">
        <v>6929</v>
      </c>
      <c r="W282" s="16" t="s">
        <v>17</v>
      </c>
      <c r="X282" s="16" t="s">
        <v>7743</v>
      </c>
      <c r="Y282" s="16" t="s">
        <v>17</v>
      </c>
      <c r="Z282" s="16" t="s">
        <v>6926</v>
      </c>
    </row>
    <row r="283" spans="1:26" x14ac:dyDescent="0.3">
      <c r="A283" s="16">
        <v>282</v>
      </c>
      <c r="B283" s="16" t="s">
        <v>8199</v>
      </c>
      <c r="C283" s="17">
        <v>9780071790222</v>
      </c>
      <c r="D283" s="17">
        <v>9780071790222</v>
      </c>
      <c r="E283" s="16" t="s">
        <v>7057</v>
      </c>
      <c r="F283" s="16" t="s">
        <v>17</v>
      </c>
      <c r="G283" s="16" t="s">
        <v>17</v>
      </c>
      <c r="H283" s="16" t="s">
        <v>17</v>
      </c>
      <c r="I283" s="16" t="s">
        <v>17</v>
      </c>
      <c r="J283" s="16" t="s">
        <v>17</v>
      </c>
      <c r="K283" s="16" t="s">
        <v>1279</v>
      </c>
      <c r="L283" s="16" t="s">
        <v>8200</v>
      </c>
      <c r="M283" s="16" t="s">
        <v>8199</v>
      </c>
      <c r="N283" s="16" t="s">
        <v>17</v>
      </c>
      <c r="O283" s="16" t="s">
        <v>6921</v>
      </c>
      <c r="P283" s="16" t="s">
        <v>17</v>
      </c>
      <c r="Q283" s="16" t="s">
        <v>6922</v>
      </c>
      <c r="R283" s="16" t="s">
        <v>6923</v>
      </c>
      <c r="S283" s="16" t="s">
        <v>17</v>
      </c>
      <c r="T283" s="16" t="s">
        <v>7057</v>
      </c>
      <c r="U283" s="16" t="s">
        <v>17</v>
      </c>
      <c r="V283" s="16" t="s">
        <v>6929</v>
      </c>
      <c r="W283" s="16" t="s">
        <v>17</v>
      </c>
      <c r="X283" s="16" t="s">
        <v>8199</v>
      </c>
      <c r="Y283" s="16" t="s">
        <v>17</v>
      </c>
      <c r="Z283" s="16" t="s">
        <v>6926</v>
      </c>
    </row>
    <row r="284" spans="1:26" x14ac:dyDescent="0.3">
      <c r="A284" s="16">
        <v>283</v>
      </c>
      <c r="B284" s="16" t="s">
        <v>7374</v>
      </c>
      <c r="C284" s="17">
        <v>9781260467802</v>
      </c>
      <c r="D284" s="17">
        <v>9781260467802</v>
      </c>
      <c r="E284" s="16" t="s">
        <v>7375</v>
      </c>
      <c r="F284" s="16" t="s">
        <v>17</v>
      </c>
      <c r="G284" s="16" t="s">
        <v>17</v>
      </c>
      <c r="H284" s="16" t="s">
        <v>17</v>
      </c>
      <c r="I284" s="16" t="s">
        <v>17</v>
      </c>
      <c r="J284" s="16" t="s">
        <v>17</v>
      </c>
      <c r="K284" s="16" t="s">
        <v>391</v>
      </c>
      <c r="L284" s="16" t="s">
        <v>390</v>
      </c>
      <c r="M284" s="16" t="s">
        <v>7374</v>
      </c>
      <c r="N284" s="16" t="s">
        <v>17</v>
      </c>
      <c r="O284" s="16" t="s">
        <v>6921</v>
      </c>
      <c r="P284" s="16" t="s">
        <v>17</v>
      </c>
      <c r="Q284" s="16" t="s">
        <v>6922</v>
      </c>
      <c r="R284" s="16" t="s">
        <v>6923</v>
      </c>
      <c r="S284" s="16" t="s">
        <v>17</v>
      </c>
      <c r="T284" s="16" t="s">
        <v>7375</v>
      </c>
      <c r="U284" s="16" t="s">
        <v>17</v>
      </c>
      <c r="V284" s="16" t="s">
        <v>6929</v>
      </c>
      <c r="W284" s="16" t="s">
        <v>17</v>
      </c>
      <c r="X284" s="16" t="s">
        <v>7374</v>
      </c>
      <c r="Y284" s="16" t="s">
        <v>17</v>
      </c>
      <c r="Z284" s="16" t="s">
        <v>6926</v>
      </c>
    </row>
    <row r="285" spans="1:26" x14ac:dyDescent="0.3">
      <c r="A285" s="16">
        <v>284</v>
      </c>
      <c r="B285" s="16" t="s">
        <v>7317</v>
      </c>
      <c r="C285" s="17">
        <v>9781264266630</v>
      </c>
      <c r="D285" s="17">
        <v>9781264266630</v>
      </c>
      <c r="E285" s="16" t="s">
        <v>7318</v>
      </c>
      <c r="F285" s="16" t="s">
        <v>17</v>
      </c>
      <c r="G285" s="16" t="s">
        <v>17</v>
      </c>
      <c r="H285" s="16" t="s">
        <v>17</v>
      </c>
      <c r="I285" s="16" t="s">
        <v>17</v>
      </c>
      <c r="J285" s="16" t="s">
        <v>17</v>
      </c>
      <c r="K285" s="16" t="s">
        <v>342</v>
      </c>
      <c r="L285" s="16" t="s">
        <v>341</v>
      </c>
      <c r="M285" s="16" t="s">
        <v>7317</v>
      </c>
      <c r="N285" s="16" t="s">
        <v>17</v>
      </c>
      <c r="O285" s="16" t="s">
        <v>6921</v>
      </c>
      <c r="P285" s="16" t="s">
        <v>17</v>
      </c>
      <c r="Q285" s="16" t="s">
        <v>6922</v>
      </c>
      <c r="R285" s="16" t="s">
        <v>6923</v>
      </c>
      <c r="S285" s="16" t="s">
        <v>17</v>
      </c>
      <c r="T285" s="16" t="s">
        <v>7318</v>
      </c>
      <c r="U285" s="16" t="s">
        <v>17</v>
      </c>
      <c r="V285" s="16" t="s">
        <v>6929</v>
      </c>
      <c r="W285" s="16" t="s">
        <v>17</v>
      </c>
      <c r="X285" s="16" t="s">
        <v>7317</v>
      </c>
      <c r="Y285" s="16" t="s">
        <v>17</v>
      </c>
      <c r="Z285" s="16" t="s">
        <v>6926</v>
      </c>
    </row>
    <row r="286" spans="1:26" x14ac:dyDescent="0.3">
      <c r="A286" s="16">
        <v>285</v>
      </c>
      <c r="B286" s="16" t="s">
        <v>986</v>
      </c>
      <c r="C286" s="17">
        <v>9780071483001</v>
      </c>
      <c r="D286" s="17">
        <v>9780071483001</v>
      </c>
      <c r="E286" s="16" t="s">
        <v>6920</v>
      </c>
      <c r="F286" s="16" t="s">
        <v>17</v>
      </c>
      <c r="G286" s="16" t="s">
        <v>17</v>
      </c>
      <c r="H286" s="16" t="s">
        <v>17</v>
      </c>
      <c r="I286" s="16" t="s">
        <v>17</v>
      </c>
      <c r="J286" s="16" t="s">
        <v>17</v>
      </c>
      <c r="K286" s="16" t="s">
        <v>988</v>
      </c>
      <c r="L286" s="16" t="s">
        <v>987</v>
      </c>
      <c r="M286" s="16" t="s">
        <v>986</v>
      </c>
      <c r="N286" s="16" t="s">
        <v>17</v>
      </c>
      <c r="O286" s="16" t="s">
        <v>6921</v>
      </c>
      <c r="P286" s="16" t="s">
        <v>17</v>
      </c>
      <c r="Q286" s="16" t="s">
        <v>6922</v>
      </c>
      <c r="R286" s="16" t="s">
        <v>6923</v>
      </c>
      <c r="S286" s="16" t="s">
        <v>17</v>
      </c>
      <c r="T286" s="16" t="s">
        <v>6920</v>
      </c>
      <c r="U286" s="16" t="s">
        <v>17</v>
      </c>
      <c r="V286" s="16" t="s">
        <v>7183</v>
      </c>
      <c r="W286" s="16" t="s">
        <v>17</v>
      </c>
      <c r="X286" s="16" t="s">
        <v>986</v>
      </c>
      <c r="Y286" s="16" t="s">
        <v>17</v>
      </c>
      <c r="Z286" s="16" t="s">
        <v>6926</v>
      </c>
    </row>
    <row r="287" spans="1:26" x14ac:dyDescent="0.3">
      <c r="A287" s="16">
        <v>286</v>
      </c>
      <c r="B287" s="16" t="s">
        <v>477</v>
      </c>
      <c r="C287" s="17">
        <v>9780071455060</v>
      </c>
      <c r="D287" s="17">
        <v>9780071455060</v>
      </c>
      <c r="E287" s="16" t="s">
        <v>6920</v>
      </c>
      <c r="F287" s="16" t="s">
        <v>17</v>
      </c>
      <c r="G287" s="16" t="s">
        <v>17</v>
      </c>
      <c r="H287" s="16" t="s">
        <v>17</v>
      </c>
      <c r="I287" s="16" t="s">
        <v>17</v>
      </c>
      <c r="J287" s="16" t="s">
        <v>17</v>
      </c>
      <c r="K287" s="16" t="s">
        <v>479</v>
      </c>
      <c r="L287" s="16" t="s">
        <v>478</v>
      </c>
      <c r="M287" s="16" t="s">
        <v>477</v>
      </c>
      <c r="N287" s="16" t="s">
        <v>17</v>
      </c>
      <c r="O287" s="16" t="s">
        <v>6921</v>
      </c>
      <c r="P287" s="16" t="s">
        <v>17</v>
      </c>
      <c r="Q287" s="16" t="s">
        <v>6922</v>
      </c>
      <c r="R287" s="16" t="s">
        <v>6923</v>
      </c>
      <c r="S287" s="16" t="s">
        <v>17</v>
      </c>
      <c r="T287" s="16" t="s">
        <v>6920</v>
      </c>
      <c r="U287" s="16" t="s">
        <v>17</v>
      </c>
      <c r="V287" s="16" t="s">
        <v>7049</v>
      </c>
      <c r="W287" s="16" t="s">
        <v>17</v>
      </c>
      <c r="X287" s="16" t="s">
        <v>477</v>
      </c>
      <c r="Y287" s="16" t="s">
        <v>17</v>
      </c>
      <c r="Z287" s="16" t="s">
        <v>6926</v>
      </c>
    </row>
    <row r="288" spans="1:26" x14ac:dyDescent="0.3">
      <c r="A288" s="16">
        <v>287</v>
      </c>
      <c r="B288" s="16" t="s">
        <v>7612</v>
      </c>
      <c r="C288" s="17">
        <v>9781260463118</v>
      </c>
      <c r="D288" s="17">
        <v>9781260463118</v>
      </c>
      <c r="E288" s="16" t="s">
        <v>7613</v>
      </c>
      <c r="F288" s="16" t="s">
        <v>17</v>
      </c>
      <c r="G288" s="16" t="s">
        <v>17</v>
      </c>
      <c r="H288" s="16" t="s">
        <v>17</v>
      </c>
      <c r="I288" s="16" t="s">
        <v>17</v>
      </c>
      <c r="J288" s="16" t="s">
        <v>17</v>
      </c>
      <c r="K288" s="16" t="s">
        <v>606</v>
      </c>
      <c r="L288" s="16" t="s">
        <v>7614</v>
      </c>
      <c r="M288" s="16" t="s">
        <v>7612</v>
      </c>
      <c r="N288" s="16" t="s">
        <v>17</v>
      </c>
      <c r="O288" s="16" t="s">
        <v>6921</v>
      </c>
      <c r="P288" s="16" t="s">
        <v>17</v>
      </c>
      <c r="Q288" s="16" t="s">
        <v>6922</v>
      </c>
      <c r="R288" s="16" t="s">
        <v>6923</v>
      </c>
      <c r="S288" s="16" t="s">
        <v>17</v>
      </c>
      <c r="T288" s="16" t="s">
        <v>7613</v>
      </c>
      <c r="U288" s="16" t="s">
        <v>17</v>
      </c>
      <c r="V288" s="16" t="s">
        <v>6929</v>
      </c>
      <c r="W288" s="16" t="s">
        <v>17</v>
      </c>
      <c r="X288" s="16" t="s">
        <v>7612</v>
      </c>
      <c r="Y288" s="16" t="s">
        <v>17</v>
      </c>
      <c r="Z288" s="16" t="s">
        <v>6926</v>
      </c>
    </row>
    <row r="289" spans="1:26" x14ac:dyDescent="0.3">
      <c r="A289" s="16">
        <v>288</v>
      </c>
      <c r="B289" s="16" t="s">
        <v>7628</v>
      </c>
      <c r="C289" s="17">
        <v>9781264715725</v>
      </c>
      <c r="D289" s="17">
        <v>9781264715725</v>
      </c>
      <c r="E289" s="16" t="s">
        <v>7629</v>
      </c>
      <c r="F289" s="16" t="s">
        <v>17</v>
      </c>
      <c r="G289" s="16" t="s">
        <v>17</v>
      </c>
      <c r="H289" s="16" t="s">
        <v>17</v>
      </c>
      <c r="I289" s="16" t="s">
        <v>17</v>
      </c>
      <c r="J289" s="16" t="s">
        <v>17</v>
      </c>
      <c r="K289" s="16" t="s">
        <v>622</v>
      </c>
      <c r="L289" s="16" t="s">
        <v>621</v>
      </c>
      <c r="M289" s="16" t="s">
        <v>7628</v>
      </c>
      <c r="N289" s="16" t="s">
        <v>17</v>
      </c>
      <c r="O289" s="16" t="s">
        <v>6921</v>
      </c>
      <c r="P289" s="16" t="s">
        <v>17</v>
      </c>
      <c r="Q289" s="16" t="s">
        <v>6922</v>
      </c>
      <c r="R289" s="16" t="s">
        <v>6923</v>
      </c>
      <c r="S289" s="16" t="s">
        <v>17</v>
      </c>
      <c r="T289" s="16" t="s">
        <v>7629</v>
      </c>
      <c r="U289" s="16" t="s">
        <v>17</v>
      </c>
      <c r="V289" s="16" t="s">
        <v>6929</v>
      </c>
      <c r="W289" s="16" t="s">
        <v>17</v>
      </c>
      <c r="X289" s="16" t="s">
        <v>7628</v>
      </c>
      <c r="Y289" s="16" t="s">
        <v>17</v>
      </c>
      <c r="Z289" s="16" t="s">
        <v>6926</v>
      </c>
    </row>
    <row r="290" spans="1:26" x14ac:dyDescent="0.3">
      <c r="A290" s="16">
        <v>289</v>
      </c>
      <c r="B290" s="16" t="s">
        <v>7583</v>
      </c>
      <c r="C290" s="17">
        <v>9780071614757</v>
      </c>
      <c r="D290" s="17">
        <v>9780071614757</v>
      </c>
      <c r="E290" s="16" t="s">
        <v>6920</v>
      </c>
      <c r="F290" s="16" t="s">
        <v>17</v>
      </c>
      <c r="G290" s="16" t="s">
        <v>17</v>
      </c>
      <c r="H290" s="16" t="s">
        <v>17</v>
      </c>
      <c r="I290" s="16" t="s">
        <v>17</v>
      </c>
      <c r="J290" s="16" t="s">
        <v>17</v>
      </c>
      <c r="K290" s="16" t="s">
        <v>574</v>
      </c>
      <c r="L290" s="16" t="s">
        <v>187</v>
      </c>
      <c r="M290" s="16" t="s">
        <v>7583</v>
      </c>
      <c r="N290" s="16" t="s">
        <v>17</v>
      </c>
      <c r="O290" s="16" t="s">
        <v>6921</v>
      </c>
      <c r="P290" s="16" t="s">
        <v>17</v>
      </c>
      <c r="Q290" s="16" t="s">
        <v>6922</v>
      </c>
      <c r="R290" s="16" t="s">
        <v>6923</v>
      </c>
      <c r="S290" s="16" t="s">
        <v>17</v>
      </c>
      <c r="T290" s="16" t="s">
        <v>6920</v>
      </c>
      <c r="U290" s="16" t="s">
        <v>17</v>
      </c>
      <c r="V290" s="16" t="s">
        <v>6949</v>
      </c>
      <c r="W290" s="16" t="s">
        <v>17</v>
      </c>
      <c r="X290" s="16" t="s">
        <v>7583</v>
      </c>
      <c r="Y290" s="16" t="s">
        <v>17</v>
      </c>
      <c r="Z290" s="16" t="s">
        <v>6926</v>
      </c>
    </row>
    <row r="291" spans="1:26" x14ac:dyDescent="0.3">
      <c r="A291" s="16">
        <v>290</v>
      </c>
      <c r="B291" s="16" t="s">
        <v>7974</v>
      </c>
      <c r="C291" s="17">
        <v>9780071799928</v>
      </c>
      <c r="D291" s="17">
        <v>9780071799928</v>
      </c>
      <c r="E291" s="16" t="s">
        <v>7178</v>
      </c>
      <c r="F291" s="16" t="s">
        <v>17</v>
      </c>
      <c r="G291" s="16" t="s">
        <v>17</v>
      </c>
      <c r="H291" s="16" t="s">
        <v>17</v>
      </c>
      <c r="I291" s="16" t="s">
        <v>17</v>
      </c>
      <c r="J291" s="16" t="s">
        <v>17</v>
      </c>
      <c r="K291" s="16" t="s">
        <v>1009</v>
      </c>
      <c r="L291" s="16" t="s">
        <v>7975</v>
      </c>
      <c r="M291" s="16" t="s">
        <v>7974</v>
      </c>
      <c r="N291" s="16" t="s">
        <v>17</v>
      </c>
      <c r="O291" s="16" t="s">
        <v>6921</v>
      </c>
      <c r="P291" s="16" t="s">
        <v>17</v>
      </c>
      <c r="Q291" s="16" t="s">
        <v>6922</v>
      </c>
      <c r="R291" s="16" t="s">
        <v>6923</v>
      </c>
      <c r="S291" s="16" t="s">
        <v>17</v>
      </c>
      <c r="T291" s="16" t="s">
        <v>7178</v>
      </c>
      <c r="U291" s="16" t="s">
        <v>17</v>
      </c>
      <c r="V291" s="16" t="s">
        <v>6929</v>
      </c>
      <c r="W291" s="16" t="s">
        <v>17</v>
      </c>
      <c r="X291" s="16" t="s">
        <v>7974</v>
      </c>
      <c r="Y291" s="16" t="s">
        <v>17</v>
      </c>
      <c r="Z291" s="16" t="s">
        <v>6926</v>
      </c>
    </row>
    <row r="292" spans="1:26" x14ac:dyDescent="0.3">
      <c r="A292" s="16">
        <v>291</v>
      </c>
      <c r="B292" s="16" t="s">
        <v>7088</v>
      </c>
      <c r="C292" s="17">
        <v>9780071549189</v>
      </c>
      <c r="D292" s="17">
        <v>9780071549189</v>
      </c>
      <c r="E292" s="16" t="s">
        <v>6920</v>
      </c>
      <c r="F292" s="16" t="s">
        <v>17</v>
      </c>
      <c r="G292" s="16" t="s">
        <v>17</v>
      </c>
      <c r="H292" s="16" t="s">
        <v>17</v>
      </c>
      <c r="I292" s="16" t="s">
        <v>17</v>
      </c>
      <c r="J292" s="16" t="s">
        <v>17</v>
      </c>
      <c r="K292" s="16" t="s">
        <v>150</v>
      </c>
      <c r="L292" s="16" t="s">
        <v>17</v>
      </c>
      <c r="M292" s="16" t="s">
        <v>7088</v>
      </c>
      <c r="N292" s="16" t="s">
        <v>17</v>
      </c>
      <c r="O292" s="16" t="s">
        <v>6921</v>
      </c>
      <c r="P292" s="16" t="s">
        <v>17</v>
      </c>
      <c r="Q292" s="16" t="s">
        <v>6922</v>
      </c>
      <c r="R292" s="16" t="s">
        <v>6923</v>
      </c>
      <c r="S292" s="16" t="s">
        <v>17</v>
      </c>
      <c r="T292" s="16" t="s">
        <v>6920</v>
      </c>
      <c r="U292" s="16" t="s">
        <v>17</v>
      </c>
      <c r="V292" s="16" t="s">
        <v>6929</v>
      </c>
      <c r="W292" s="16" t="s">
        <v>149</v>
      </c>
      <c r="X292" s="16" t="s">
        <v>7088</v>
      </c>
      <c r="Y292" s="16" t="s">
        <v>17</v>
      </c>
      <c r="Z292" s="16" t="s">
        <v>6926</v>
      </c>
    </row>
    <row r="293" spans="1:26" x14ac:dyDescent="0.3">
      <c r="A293" s="16">
        <v>292</v>
      </c>
      <c r="B293" s="16" t="s">
        <v>8176</v>
      </c>
      <c r="C293" s="17">
        <v>9781260132236</v>
      </c>
      <c r="D293" s="17">
        <v>9781260132236</v>
      </c>
      <c r="E293" s="16" t="s">
        <v>7935</v>
      </c>
      <c r="F293" s="16" t="s">
        <v>17</v>
      </c>
      <c r="G293" s="16" t="s">
        <v>17</v>
      </c>
      <c r="H293" s="16" t="s">
        <v>17</v>
      </c>
      <c r="I293" s="16" t="s">
        <v>17</v>
      </c>
      <c r="J293" s="16" t="s">
        <v>17</v>
      </c>
      <c r="K293" s="16" t="s">
        <v>1258</v>
      </c>
      <c r="L293" s="16" t="s">
        <v>1257</v>
      </c>
      <c r="M293" s="16" t="s">
        <v>8176</v>
      </c>
      <c r="N293" s="16" t="s">
        <v>17</v>
      </c>
      <c r="O293" s="16" t="s">
        <v>6921</v>
      </c>
      <c r="P293" s="16" t="s">
        <v>17</v>
      </c>
      <c r="Q293" s="16" t="s">
        <v>6922</v>
      </c>
      <c r="R293" s="16" t="s">
        <v>6923</v>
      </c>
      <c r="S293" s="16" t="s">
        <v>17</v>
      </c>
      <c r="T293" s="16" t="s">
        <v>7935</v>
      </c>
      <c r="U293" s="16" t="s">
        <v>17</v>
      </c>
      <c r="V293" s="16" t="s">
        <v>6929</v>
      </c>
      <c r="W293" s="16" t="s">
        <v>17</v>
      </c>
      <c r="X293" s="16" t="s">
        <v>8176</v>
      </c>
      <c r="Y293" s="16" t="s">
        <v>17</v>
      </c>
      <c r="Z293" s="16" t="s">
        <v>6926</v>
      </c>
    </row>
    <row r="294" spans="1:26" x14ac:dyDescent="0.3">
      <c r="A294" s="16">
        <v>293</v>
      </c>
      <c r="B294" s="16" t="s">
        <v>8317</v>
      </c>
      <c r="C294" s="17">
        <v>9780071760270</v>
      </c>
      <c r="D294" s="17">
        <v>9780071760270</v>
      </c>
      <c r="E294" s="16" t="s">
        <v>7734</v>
      </c>
      <c r="F294" s="16" t="s">
        <v>17</v>
      </c>
      <c r="G294" s="16" t="s">
        <v>17</v>
      </c>
      <c r="H294" s="16" t="s">
        <v>17</v>
      </c>
      <c r="I294" s="16" t="s">
        <v>17</v>
      </c>
      <c r="J294" s="16" t="s">
        <v>17</v>
      </c>
      <c r="K294" s="16" t="s">
        <v>1372</v>
      </c>
      <c r="L294" s="16" t="s">
        <v>1371</v>
      </c>
      <c r="M294" s="16" t="s">
        <v>8317</v>
      </c>
      <c r="N294" s="16" t="s">
        <v>17</v>
      </c>
      <c r="O294" s="16" t="s">
        <v>6921</v>
      </c>
      <c r="P294" s="16" t="s">
        <v>17</v>
      </c>
      <c r="Q294" s="16" t="s">
        <v>6922</v>
      </c>
      <c r="R294" s="16" t="s">
        <v>6923</v>
      </c>
      <c r="S294" s="16" t="s">
        <v>17</v>
      </c>
      <c r="T294" s="16" t="s">
        <v>7734</v>
      </c>
      <c r="U294" s="16" t="s">
        <v>17</v>
      </c>
      <c r="V294" s="16" t="s">
        <v>6929</v>
      </c>
      <c r="W294" s="16" t="s">
        <v>17</v>
      </c>
      <c r="X294" s="16" t="s">
        <v>8317</v>
      </c>
      <c r="Y294" s="16" t="s">
        <v>17</v>
      </c>
      <c r="Z294" s="16" t="s">
        <v>6926</v>
      </c>
    </row>
    <row r="295" spans="1:26" x14ac:dyDescent="0.3">
      <c r="A295" s="16">
        <v>294</v>
      </c>
      <c r="B295" s="16" t="s">
        <v>7254</v>
      </c>
      <c r="C295" s="17">
        <v>9780071353946</v>
      </c>
      <c r="D295" s="17">
        <v>9780071353946</v>
      </c>
      <c r="E295" s="16" t="s">
        <v>6920</v>
      </c>
      <c r="F295" s="16" t="s">
        <v>17</v>
      </c>
      <c r="G295" s="16" t="s">
        <v>17</v>
      </c>
      <c r="H295" s="16" t="s">
        <v>17</v>
      </c>
      <c r="I295" s="16" t="s">
        <v>17</v>
      </c>
      <c r="J295" s="16" t="s">
        <v>17</v>
      </c>
      <c r="K295" s="16" t="s">
        <v>285</v>
      </c>
      <c r="L295" s="16" t="s">
        <v>17</v>
      </c>
      <c r="M295" s="16" t="s">
        <v>7254</v>
      </c>
      <c r="N295" s="16" t="s">
        <v>17</v>
      </c>
      <c r="O295" s="16" t="s">
        <v>6921</v>
      </c>
      <c r="P295" s="16" t="s">
        <v>17</v>
      </c>
      <c r="Q295" s="16" t="s">
        <v>6922</v>
      </c>
      <c r="R295" s="16" t="s">
        <v>6923</v>
      </c>
      <c r="S295" s="16" t="s">
        <v>17</v>
      </c>
      <c r="T295" s="16" t="s">
        <v>6920</v>
      </c>
      <c r="U295" s="16" t="s">
        <v>17</v>
      </c>
      <c r="V295" s="16" t="s">
        <v>6929</v>
      </c>
      <c r="W295" s="16" t="s">
        <v>284</v>
      </c>
      <c r="X295" s="16" t="s">
        <v>7254</v>
      </c>
      <c r="Y295" s="16" t="s">
        <v>17</v>
      </c>
      <c r="Z295" s="16" t="s">
        <v>6926</v>
      </c>
    </row>
    <row r="296" spans="1:26" x14ac:dyDescent="0.3">
      <c r="A296" s="16">
        <v>295</v>
      </c>
      <c r="B296" s="16" t="s">
        <v>7607</v>
      </c>
      <c r="C296" s="17">
        <v>9780071597210</v>
      </c>
      <c r="D296" s="17">
        <v>9780071597210</v>
      </c>
      <c r="E296" s="16" t="s">
        <v>6920</v>
      </c>
      <c r="F296" s="16" t="s">
        <v>17</v>
      </c>
      <c r="G296" s="16" t="s">
        <v>17</v>
      </c>
      <c r="H296" s="16" t="s">
        <v>17</v>
      </c>
      <c r="I296" s="16" t="s">
        <v>17</v>
      </c>
      <c r="J296" s="16" t="s">
        <v>17</v>
      </c>
      <c r="K296" s="16" t="s">
        <v>601</v>
      </c>
      <c r="L296" s="16" t="s">
        <v>600</v>
      </c>
      <c r="M296" s="16" t="s">
        <v>7607</v>
      </c>
      <c r="N296" s="16" t="s">
        <v>17</v>
      </c>
      <c r="O296" s="16" t="s">
        <v>6921</v>
      </c>
      <c r="P296" s="16" t="s">
        <v>17</v>
      </c>
      <c r="Q296" s="16" t="s">
        <v>6922</v>
      </c>
      <c r="R296" s="16" t="s">
        <v>6923</v>
      </c>
      <c r="S296" s="16" t="s">
        <v>17</v>
      </c>
      <c r="T296" s="16" t="s">
        <v>6920</v>
      </c>
      <c r="U296" s="16" t="s">
        <v>17</v>
      </c>
      <c r="V296" s="16" t="s">
        <v>6949</v>
      </c>
      <c r="W296" s="16" t="s">
        <v>17</v>
      </c>
      <c r="X296" s="16" t="s">
        <v>7607</v>
      </c>
      <c r="Y296" s="16" t="s">
        <v>17</v>
      </c>
      <c r="Z296" s="16" t="s">
        <v>6926</v>
      </c>
    </row>
    <row r="297" spans="1:26" x14ac:dyDescent="0.3">
      <c r="A297" s="16">
        <v>296</v>
      </c>
      <c r="B297" s="16" t="s">
        <v>7744</v>
      </c>
      <c r="C297" s="17">
        <v>9780071822503</v>
      </c>
      <c r="D297" s="17">
        <v>9780071822503</v>
      </c>
      <c r="E297" s="16" t="s">
        <v>7046</v>
      </c>
      <c r="F297" s="16" t="s">
        <v>17</v>
      </c>
      <c r="G297" s="16" t="s">
        <v>17</v>
      </c>
      <c r="H297" s="16" t="s">
        <v>17</v>
      </c>
      <c r="I297" s="16" t="s">
        <v>17</v>
      </c>
      <c r="J297" s="16" t="s">
        <v>17</v>
      </c>
      <c r="K297" s="16" t="s">
        <v>732</v>
      </c>
      <c r="L297" s="16" t="s">
        <v>7745</v>
      </c>
      <c r="M297" s="16" t="s">
        <v>7744</v>
      </c>
      <c r="N297" s="16" t="s">
        <v>17</v>
      </c>
      <c r="O297" s="16" t="s">
        <v>6921</v>
      </c>
      <c r="P297" s="16" t="s">
        <v>17</v>
      </c>
      <c r="Q297" s="16" t="s">
        <v>6922</v>
      </c>
      <c r="R297" s="16" t="s">
        <v>6923</v>
      </c>
      <c r="S297" s="16" t="s">
        <v>17</v>
      </c>
      <c r="T297" s="16" t="s">
        <v>7046</v>
      </c>
      <c r="U297" s="16" t="s">
        <v>17</v>
      </c>
      <c r="V297" s="16" t="s">
        <v>6929</v>
      </c>
      <c r="W297" s="16" t="s">
        <v>17</v>
      </c>
      <c r="X297" s="16" t="s">
        <v>7744</v>
      </c>
      <c r="Y297" s="16" t="s">
        <v>17</v>
      </c>
      <c r="Z297" s="16" t="s">
        <v>6926</v>
      </c>
    </row>
    <row r="298" spans="1:26" x14ac:dyDescent="0.3">
      <c r="A298" s="16">
        <v>297</v>
      </c>
      <c r="B298" s="16" t="s">
        <v>8247</v>
      </c>
      <c r="C298" s="17">
        <v>9781260441512</v>
      </c>
      <c r="D298" s="17">
        <v>9781260441512</v>
      </c>
      <c r="E298" s="16" t="s">
        <v>8107</v>
      </c>
      <c r="F298" s="16" t="s">
        <v>17</v>
      </c>
      <c r="G298" s="16" t="s">
        <v>17</v>
      </c>
      <c r="H298" s="16" t="s">
        <v>17</v>
      </c>
      <c r="I298" s="16" t="s">
        <v>17</v>
      </c>
      <c r="J298" s="16" t="s">
        <v>17</v>
      </c>
      <c r="K298" s="16" t="s">
        <v>1320</v>
      </c>
      <c r="L298" s="16" t="s">
        <v>1318</v>
      </c>
      <c r="M298" s="16" t="s">
        <v>8247</v>
      </c>
      <c r="N298" s="16" t="s">
        <v>17</v>
      </c>
      <c r="O298" s="16" t="s">
        <v>6921</v>
      </c>
      <c r="P298" s="16" t="s">
        <v>17</v>
      </c>
      <c r="Q298" s="16" t="s">
        <v>6922</v>
      </c>
      <c r="R298" s="16" t="s">
        <v>6923</v>
      </c>
      <c r="S298" s="16" t="s">
        <v>17</v>
      </c>
      <c r="T298" s="16" t="s">
        <v>8107</v>
      </c>
      <c r="U298" s="16" t="s">
        <v>17</v>
      </c>
      <c r="V298" s="16" t="s">
        <v>6929</v>
      </c>
      <c r="W298" s="16" t="s">
        <v>17</v>
      </c>
      <c r="X298" s="16" t="s">
        <v>8247</v>
      </c>
      <c r="Y298" s="16" t="s">
        <v>17</v>
      </c>
      <c r="Z298" s="16" t="s">
        <v>6926</v>
      </c>
    </row>
    <row r="299" spans="1:26" x14ac:dyDescent="0.3">
      <c r="A299" s="16">
        <v>298</v>
      </c>
      <c r="B299" s="16" t="s">
        <v>7215</v>
      </c>
      <c r="C299" s="17">
        <v>9780071357586</v>
      </c>
      <c r="D299" s="17">
        <v>9780071357586</v>
      </c>
      <c r="E299" s="16" t="s">
        <v>7216</v>
      </c>
      <c r="F299" s="16" t="s">
        <v>17</v>
      </c>
      <c r="G299" s="16" t="s">
        <v>17</v>
      </c>
      <c r="H299" s="16" t="s">
        <v>17</v>
      </c>
      <c r="I299" s="16" t="s">
        <v>17</v>
      </c>
      <c r="J299" s="16" t="s">
        <v>17</v>
      </c>
      <c r="K299" s="16" t="s">
        <v>252</v>
      </c>
      <c r="L299" s="16" t="s">
        <v>7217</v>
      </c>
      <c r="M299" s="16" t="s">
        <v>7215</v>
      </c>
      <c r="N299" s="16" t="s">
        <v>17</v>
      </c>
      <c r="O299" s="16" t="s">
        <v>6921</v>
      </c>
      <c r="P299" s="16" t="s">
        <v>17</v>
      </c>
      <c r="Q299" s="16" t="s">
        <v>6922</v>
      </c>
      <c r="R299" s="16" t="s">
        <v>6923</v>
      </c>
      <c r="S299" s="16" t="s">
        <v>17</v>
      </c>
      <c r="T299" s="16" t="s">
        <v>7216</v>
      </c>
      <c r="U299" s="16" t="s">
        <v>17</v>
      </c>
      <c r="V299" s="16" t="s">
        <v>6929</v>
      </c>
      <c r="W299" s="16" t="s">
        <v>17</v>
      </c>
      <c r="X299" s="16" t="s">
        <v>7215</v>
      </c>
      <c r="Y299" s="16" t="s">
        <v>17</v>
      </c>
      <c r="Z299" s="16" t="s">
        <v>6926</v>
      </c>
    </row>
    <row r="300" spans="1:26" x14ac:dyDescent="0.3">
      <c r="A300" s="16">
        <v>299</v>
      </c>
      <c r="B300" s="16" t="s">
        <v>8290</v>
      </c>
      <c r="C300" s="17">
        <v>9780071839372</v>
      </c>
      <c r="D300" s="17">
        <v>9780071839372</v>
      </c>
      <c r="E300" s="16" t="s">
        <v>6991</v>
      </c>
      <c r="F300" s="16" t="s">
        <v>17</v>
      </c>
      <c r="G300" s="16" t="s">
        <v>17</v>
      </c>
      <c r="H300" s="16" t="s">
        <v>17</v>
      </c>
      <c r="I300" s="16" t="s">
        <v>17</v>
      </c>
      <c r="J300" s="16" t="s">
        <v>17</v>
      </c>
      <c r="K300" s="16" t="s">
        <v>1354</v>
      </c>
      <c r="L300" s="16" t="s">
        <v>1353</v>
      </c>
      <c r="M300" s="16" t="s">
        <v>8290</v>
      </c>
      <c r="N300" s="16" t="s">
        <v>17</v>
      </c>
      <c r="O300" s="16" t="s">
        <v>6921</v>
      </c>
      <c r="P300" s="16" t="s">
        <v>17</v>
      </c>
      <c r="Q300" s="16" t="s">
        <v>6922</v>
      </c>
      <c r="R300" s="16" t="s">
        <v>6923</v>
      </c>
      <c r="S300" s="16" t="s">
        <v>17</v>
      </c>
      <c r="T300" s="16" t="s">
        <v>6991</v>
      </c>
      <c r="U300" s="16" t="s">
        <v>17</v>
      </c>
      <c r="V300" s="16" t="s">
        <v>6929</v>
      </c>
      <c r="W300" s="16" t="s">
        <v>17</v>
      </c>
      <c r="X300" s="16" t="s">
        <v>8290</v>
      </c>
      <c r="Y300" s="16" t="s">
        <v>17</v>
      </c>
      <c r="Z300" s="16" t="s">
        <v>6926</v>
      </c>
    </row>
    <row r="301" spans="1:26" x14ac:dyDescent="0.3">
      <c r="A301" s="16">
        <v>300</v>
      </c>
      <c r="B301" s="16" t="s">
        <v>7040</v>
      </c>
      <c r="C301" s="17">
        <v>9780070483095</v>
      </c>
      <c r="D301" s="17">
        <v>9780070483095</v>
      </c>
      <c r="E301" s="16" t="s">
        <v>6991</v>
      </c>
      <c r="F301" s="16" t="s">
        <v>17</v>
      </c>
      <c r="G301" s="16" t="s">
        <v>17</v>
      </c>
      <c r="H301" s="16" t="s">
        <v>17</v>
      </c>
      <c r="I301" s="16" t="s">
        <v>17</v>
      </c>
      <c r="J301" s="16" t="s">
        <v>17</v>
      </c>
      <c r="K301" s="16" t="s">
        <v>106</v>
      </c>
      <c r="L301" s="16" t="s">
        <v>7041</v>
      </c>
      <c r="M301" s="16" t="s">
        <v>7040</v>
      </c>
      <c r="N301" s="16" t="s">
        <v>17</v>
      </c>
      <c r="O301" s="16" t="s">
        <v>6921</v>
      </c>
      <c r="P301" s="16" t="s">
        <v>17</v>
      </c>
      <c r="Q301" s="16" t="s">
        <v>6922</v>
      </c>
      <c r="R301" s="16" t="s">
        <v>6923</v>
      </c>
      <c r="S301" s="16" t="s">
        <v>17</v>
      </c>
      <c r="T301" s="16" t="s">
        <v>6991</v>
      </c>
      <c r="U301" s="16" t="s">
        <v>17</v>
      </c>
      <c r="V301" s="16" t="s">
        <v>6929</v>
      </c>
      <c r="W301" s="16" t="s">
        <v>17</v>
      </c>
      <c r="X301" s="16" t="s">
        <v>7040</v>
      </c>
      <c r="Y301" s="16" t="s">
        <v>17</v>
      </c>
      <c r="Z301" s="16" t="s">
        <v>6926</v>
      </c>
    </row>
    <row r="302" spans="1:26" x14ac:dyDescent="0.3">
      <c r="A302" s="16">
        <v>301</v>
      </c>
      <c r="B302" s="16" t="s">
        <v>7303</v>
      </c>
      <c r="C302" s="17">
        <v>9780071818674</v>
      </c>
      <c r="D302" s="17">
        <v>9780071818674</v>
      </c>
      <c r="E302" s="16" t="s">
        <v>7261</v>
      </c>
      <c r="F302" s="16" t="s">
        <v>17</v>
      </c>
      <c r="G302" s="16" t="s">
        <v>17</v>
      </c>
      <c r="H302" s="16" t="s">
        <v>17</v>
      </c>
      <c r="I302" s="16" t="s">
        <v>17</v>
      </c>
      <c r="J302" s="16" t="s">
        <v>17</v>
      </c>
      <c r="K302" s="16" t="s">
        <v>318</v>
      </c>
      <c r="L302" s="16" t="s">
        <v>131</v>
      </c>
      <c r="M302" s="16" t="s">
        <v>7303</v>
      </c>
      <c r="N302" s="16" t="s">
        <v>17</v>
      </c>
      <c r="O302" s="16" t="s">
        <v>6921</v>
      </c>
      <c r="P302" s="16" t="s">
        <v>17</v>
      </c>
      <c r="Q302" s="16" t="s">
        <v>6922</v>
      </c>
      <c r="R302" s="16" t="s">
        <v>6923</v>
      </c>
      <c r="S302" s="16" t="s">
        <v>17</v>
      </c>
      <c r="T302" s="16" t="s">
        <v>7261</v>
      </c>
      <c r="U302" s="16" t="s">
        <v>17</v>
      </c>
      <c r="V302" s="16" t="s">
        <v>6924</v>
      </c>
      <c r="W302" s="16" t="s">
        <v>17</v>
      </c>
      <c r="X302" s="16" t="s">
        <v>7303</v>
      </c>
      <c r="Y302" s="16" t="s">
        <v>17</v>
      </c>
      <c r="Z302" s="16" t="s">
        <v>6926</v>
      </c>
    </row>
    <row r="303" spans="1:26" x14ac:dyDescent="0.3">
      <c r="A303" s="16">
        <v>302</v>
      </c>
      <c r="B303" s="16" t="s">
        <v>7107</v>
      </c>
      <c r="C303" s="17">
        <v>9780070528031</v>
      </c>
      <c r="D303" s="17">
        <v>9780070528031</v>
      </c>
      <c r="E303" s="16" t="s">
        <v>6995</v>
      </c>
      <c r="F303" s="16" t="s">
        <v>17</v>
      </c>
      <c r="G303" s="16" t="s">
        <v>17</v>
      </c>
      <c r="H303" s="16" t="s">
        <v>17</v>
      </c>
      <c r="I303" s="16" t="s">
        <v>17</v>
      </c>
      <c r="J303" s="16" t="s">
        <v>17</v>
      </c>
      <c r="K303" s="16" t="s">
        <v>168</v>
      </c>
      <c r="L303" s="16" t="s">
        <v>7108</v>
      </c>
      <c r="M303" s="16" t="s">
        <v>7107</v>
      </c>
      <c r="N303" s="16" t="s">
        <v>17</v>
      </c>
      <c r="O303" s="16" t="s">
        <v>6921</v>
      </c>
      <c r="P303" s="16" t="s">
        <v>17</v>
      </c>
      <c r="Q303" s="16" t="s">
        <v>6922</v>
      </c>
      <c r="R303" s="16" t="s">
        <v>6923</v>
      </c>
      <c r="S303" s="16" t="s">
        <v>17</v>
      </c>
      <c r="T303" s="16" t="s">
        <v>6995</v>
      </c>
      <c r="U303" s="16" t="s">
        <v>17</v>
      </c>
      <c r="V303" s="16" t="s">
        <v>6929</v>
      </c>
      <c r="W303" s="16" t="s">
        <v>17</v>
      </c>
      <c r="X303" s="16" t="s">
        <v>7107</v>
      </c>
      <c r="Y303" s="16" t="s">
        <v>17</v>
      </c>
      <c r="Z303" s="16" t="s">
        <v>6926</v>
      </c>
    </row>
    <row r="304" spans="1:26" x14ac:dyDescent="0.3">
      <c r="A304" s="16">
        <v>303</v>
      </c>
      <c r="B304" s="16" t="s">
        <v>8407</v>
      </c>
      <c r="C304" s="17">
        <v>9781265425999</v>
      </c>
      <c r="D304" s="17">
        <v>9781265425999</v>
      </c>
      <c r="E304" s="16" t="s">
        <v>8405</v>
      </c>
      <c r="F304" s="16" t="s">
        <v>17</v>
      </c>
      <c r="G304" s="16" t="s">
        <v>17</v>
      </c>
      <c r="H304" s="16" t="s">
        <v>17</v>
      </c>
      <c r="I304" s="16" t="s">
        <v>17</v>
      </c>
      <c r="J304" s="16" t="s">
        <v>17</v>
      </c>
      <c r="K304" s="16" t="s">
        <v>1603</v>
      </c>
      <c r="L304" s="16" t="s">
        <v>1602</v>
      </c>
      <c r="M304" s="16" t="s">
        <v>8407</v>
      </c>
      <c r="N304" s="16" t="s">
        <v>17</v>
      </c>
      <c r="O304" s="16" t="s">
        <v>6921</v>
      </c>
      <c r="P304" s="16" t="s">
        <v>17</v>
      </c>
      <c r="Q304" s="16" t="s">
        <v>6922</v>
      </c>
      <c r="R304" s="16" t="s">
        <v>6923</v>
      </c>
      <c r="S304" s="16" t="s">
        <v>17</v>
      </c>
      <c r="T304" s="16" t="s">
        <v>8405</v>
      </c>
      <c r="U304" s="16" t="s">
        <v>17</v>
      </c>
      <c r="V304" s="16" t="s">
        <v>6929</v>
      </c>
      <c r="W304" s="16" t="s">
        <v>17</v>
      </c>
      <c r="X304" s="16" t="s">
        <v>8407</v>
      </c>
      <c r="Y304" s="16" t="s">
        <v>17</v>
      </c>
      <c r="Z304" s="16" t="s">
        <v>6926</v>
      </c>
    </row>
    <row r="305" spans="1:26" x14ac:dyDescent="0.3">
      <c r="A305" s="16">
        <v>304</v>
      </c>
      <c r="B305" s="16" t="s">
        <v>8352</v>
      </c>
      <c r="C305" s="17">
        <v>9780071413770</v>
      </c>
      <c r="D305" s="17">
        <v>9780071413770</v>
      </c>
      <c r="E305" s="16" t="s">
        <v>7057</v>
      </c>
      <c r="F305" s="16" t="s">
        <v>17</v>
      </c>
      <c r="G305" s="16" t="s">
        <v>17</v>
      </c>
      <c r="H305" s="16" t="s">
        <v>17</v>
      </c>
      <c r="I305" s="16" t="s">
        <v>17</v>
      </c>
      <c r="J305" s="16" t="s">
        <v>17</v>
      </c>
      <c r="K305" s="16" t="s">
        <v>1468</v>
      </c>
      <c r="L305" s="16" t="s">
        <v>1467</v>
      </c>
      <c r="M305" s="16" t="s">
        <v>8352</v>
      </c>
      <c r="N305" s="16" t="s">
        <v>17</v>
      </c>
      <c r="O305" s="16" t="s">
        <v>6921</v>
      </c>
      <c r="P305" s="16" t="s">
        <v>17</v>
      </c>
      <c r="Q305" s="16" t="s">
        <v>6922</v>
      </c>
      <c r="R305" s="16" t="s">
        <v>6923</v>
      </c>
      <c r="S305" s="16" t="s">
        <v>17</v>
      </c>
      <c r="T305" s="16" t="s">
        <v>7057</v>
      </c>
      <c r="U305" s="16" t="s">
        <v>17</v>
      </c>
      <c r="V305" s="16" t="s">
        <v>6929</v>
      </c>
      <c r="W305" s="16" t="s">
        <v>17</v>
      </c>
      <c r="X305" s="16" t="s">
        <v>8352</v>
      </c>
      <c r="Y305" s="16" t="s">
        <v>17</v>
      </c>
      <c r="Z305" s="16" t="s">
        <v>6926</v>
      </c>
    </row>
    <row r="306" spans="1:26" x14ac:dyDescent="0.3">
      <c r="A306" s="16">
        <v>305</v>
      </c>
      <c r="B306" s="16" t="s">
        <v>170</v>
      </c>
      <c r="C306" s="17">
        <v>9780071824361</v>
      </c>
      <c r="D306" s="17">
        <v>9780071824361</v>
      </c>
      <c r="E306" s="16" t="s">
        <v>7111</v>
      </c>
      <c r="F306" s="16" t="s">
        <v>17</v>
      </c>
      <c r="G306" s="16" t="s">
        <v>17</v>
      </c>
      <c r="H306" s="16" t="s">
        <v>17</v>
      </c>
      <c r="I306" s="16" t="s">
        <v>17</v>
      </c>
      <c r="J306" s="16" t="s">
        <v>17</v>
      </c>
      <c r="K306" s="16" t="s">
        <v>173</v>
      </c>
      <c r="L306" s="16" t="s">
        <v>171</v>
      </c>
      <c r="M306" s="16" t="s">
        <v>170</v>
      </c>
      <c r="N306" s="16" t="s">
        <v>17</v>
      </c>
      <c r="O306" s="16" t="s">
        <v>6921</v>
      </c>
      <c r="P306" s="16" t="s">
        <v>17</v>
      </c>
      <c r="Q306" s="16" t="s">
        <v>6922</v>
      </c>
      <c r="R306" s="16" t="s">
        <v>6923</v>
      </c>
      <c r="S306" s="16" t="s">
        <v>17</v>
      </c>
      <c r="T306" s="16" t="s">
        <v>7111</v>
      </c>
      <c r="U306" s="16" t="s">
        <v>17</v>
      </c>
      <c r="V306" s="16" t="s">
        <v>7112</v>
      </c>
      <c r="W306" s="16" t="s">
        <v>17</v>
      </c>
      <c r="X306" s="16" t="s">
        <v>170</v>
      </c>
      <c r="Y306" s="16" t="s">
        <v>17</v>
      </c>
      <c r="Z306" s="16" t="s">
        <v>6926</v>
      </c>
    </row>
    <row r="307" spans="1:26" x14ac:dyDescent="0.3">
      <c r="A307" s="16">
        <v>306</v>
      </c>
      <c r="B307" s="16" t="s">
        <v>7561</v>
      </c>
      <c r="C307" s="17">
        <v>9781260461503</v>
      </c>
      <c r="D307" s="17">
        <v>9781260461503</v>
      </c>
      <c r="E307" s="16" t="s">
        <v>7538</v>
      </c>
      <c r="F307" s="16" t="s">
        <v>17</v>
      </c>
      <c r="G307" s="16" t="s">
        <v>17</v>
      </c>
      <c r="H307" s="16" t="s">
        <v>17</v>
      </c>
      <c r="I307" s="16" t="s">
        <v>17</v>
      </c>
      <c r="J307" s="16" t="s">
        <v>17</v>
      </c>
      <c r="K307" s="16" t="s">
        <v>551</v>
      </c>
      <c r="L307" s="16" t="s">
        <v>7539</v>
      </c>
      <c r="M307" s="16" t="s">
        <v>7561</v>
      </c>
      <c r="N307" s="16" t="s">
        <v>17</v>
      </c>
      <c r="O307" s="16" t="s">
        <v>6921</v>
      </c>
      <c r="P307" s="16" t="s">
        <v>17</v>
      </c>
      <c r="Q307" s="16" t="s">
        <v>6922</v>
      </c>
      <c r="R307" s="16" t="s">
        <v>6923</v>
      </c>
      <c r="S307" s="16" t="s">
        <v>17</v>
      </c>
      <c r="T307" s="16" t="s">
        <v>7538</v>
      </c>
      <c r="U307" s="16" t="s">
        <v>17</v>
      </c>
      <c r="V307" s="16" t="s">
        <v>6929</v>
      </c>
      <c r="W307" s="16" t="s">
        <v>17</v>
      </c>
      <c r="X307" s="16" t="s">
        <v>7561</v>
      </c>
      <c r="Y307" s="16" t="s">
        <v>17</v>
      </c>
      <c r="Z307" s="16" t="s">
        <v>6926</v>
      </c>
    </row>
    <row r="308" spans="1:26" x14ac:dyDescent="0.3">
      <c r="A308" s="16">
        <v>307</v>
      </c>
      <c r="B308" s="16" t="s">
        <v>6998</v>
      </c>
      <c r="C308" s="17">
        <v>9780071825078</v>
      </c>
      <c r="D308" s="17">
        <v>9780071825078</v>
      </c>
      <c r="E308" s="16" t="s">
        <v>6981</v>
      </c>
      <c r="F308" s="16" t="s">
        <v>17</v>
      </c>
      <c r="G308" s="16" t="s">
        <v>17</v>
      </c>
      <c r="H308" s="16" t="s">
        <v>17</v>
      </c>
      <c r="I308" s="16" t="s">
        <v>17</v>
      </c>
      <c r="J308" s="16" t="s">
        <v>17</v>
      </c>
      <c r="K308" s="16" t="s">
        <v>72</v>
      </c>
      <c r="L308" s="16" t="s">
        <v>6999</v>
      </c>
      <c r="M308" s="16" t="s">
        <v>6998</v>
      </c>
      <c r="N308" s="16" t="s">
        <v>17</v>
      </c>
      <c r="O308" s="16" t="s">
        <v>6921</v>
      </c>
      <c r="P308" s="16" t="s">
        <v>17</v>
      </c>
      <c r="Q308" s="16" t="s">
        <v>6922</v>
      </c>
      <c r="R308" s="16" t="s">
        <v>6923</v>
      </c>
      <c r="S308" s="16" t="s">
        <v>17</v>
      </c>
      <c r="T308" s="16" t="s">
        <v>6981</v>
      </c>
      <c r="U308" s="16" t="s">
        <v>17</v>
      </c>
      <c r="V308" s="16" t="s">
        <v>6929</v>
      </c>
      <c r="W308" s="16" t="s">
        <v>17</v>
      </c>
      <c r="X308" s="16" t="s">
        <v>6998</v>
      </c>
      <c r="Y308" s="16" t="s">
        <v>17</v>
      </c>
      <c r="Z308" s="16" t="s">
        <v>6926</v>
      </c>
    </row>
    <row r="309" spans="1:26" x14ac:dyDescent="0.3">
      <c r="A309" s="16">
        <v>308</v>
      </c>
      <c r="B309" s="16" t="s">
        <v>6952</v>
      </c>
      <c r="C309" s="17">
        <v>9780071363723</v>
      </c>
      <c r="D309" s="17">
        <v>9780071363723</v>
      </c>
      <c r="E309" s="16" t="s">
        <v>6953</v>
      </c>
      <c r="F309" s="16" t="s">
        <v>17</v>
      </c>
      <c r="G309" s="16" t="s">
        <v>17</v>
      </c>
      <c r="H309" s="16" t="s">
        <v>17</v>
      </c>
      <c r="I309" s="16" t="s">
        <v>17</v>
      </c>
      <c r="J309" s="16" t="s">
        <v>17</v>
      </c>
      <c r="K309" s="16" t="s">
        <v>39</v>
      </c>
      <c r="L309" s="16" t="s">
        <v>6954</v>
      </c>
      <c r="M309" s="16" t="s">
        <v>6952</v>
      </c>
      <c r="N309" s="16" t="s">
        <v>17</v>
      </c>
      <c r="O309" s="16" t="s">
        <v>6921</v>
      </c>
      <c r="P309" s="16" t="s">
        <v>17</v>
      </c>
      <c r="Q309" s="16" t="s">
        <v>6922</v>
      </c>
      <c r="R309" s="16" t="s">
        <v>6923</v>
      </c>
      <c r="S309" s="16" t="s">
        <v>17</v>
      </c>
      <c r="T309" s="16" t="s">
        <v>6953</v>
      </c>
      <c r="U309" s="16" t="s">
        <v>17</v>
      </c>
      <c r="V309" s="16" t="s">
        <v>6929</v>
      </c>
      <c r="W309" s="16" t="s">
        <v>17</v>
      </c>
      <c r="X309" s="16" t="s">
        <v>6952</v>
      </c>
      <c r="Y309" s="16" t="s">
        <v>17</v>
      </c>
      <c r="Z309" s="16" t="s">
        <v>6926</v>
      </c>
    </row>
    <row r="310" spans="1:26" x14ac:dyDescent="0.3">
      <c r="A310" s="16">
        <v>309</v>
      </c>
      <c r="B310" s="16" t="s">
        <v>7349</v>
      </c>
      <c r="C310" s="17">
        <v>9781264787296</v>
      </c>
      <c r="D310" s="17">
        <v>9781264787296</v>
      </c>
      <c r="E310" s="16" t="s">
        <v>7350</v>
      </c>
      <c r="F310" s="16" t="s">
        <v>17</v>
      </c>
      <c r="G310" s="16" t="s">
        <v>17</v>
      </c>
      <c r="H310" s="16" t="s">
        <v>17</v>
      </c>
      <c r="I310" s="16" t="s">
        <v>17</v>
      </c>
      <c r="J310" s="16" t="s">
        <v>17</v>
      </c>
      <c r="K310" s="16" t="s">
        <v>371</v>
      </c>
      <c r="L310" s="16" t="s">
        <v>7172</v>
      </c>
      <c r="M310" s="16" t="s">
        <v>7349</v>
      </c>
      <c r="N310" s="16" t="s">
        <v>17</v>
      </c>
      <c r="O310" s="16" t="s">
        <v>6921</v>
      </c>
      <c r="P310" s="16" t="s">
        <v>17</v>
      </c>
      <c r="Q310" s="16" t="s">
        <v>6922</v>
      </c>
      <c r="R310" s="16" t="s">
        <v>6923</v>
      </c>
      <c r="S310" s="16" t="s">
        <v>17</v>
      </c>
      <c r="T310" s="16" t="s">
        <v>7350</v>
      </c>
      <c r="U310" s="16" t="s">
        <v>17</v>
      </c>
      <c r="V310" s="16" t="s">
        <v>7351</v>
      </c>
      <c r="W310" s="16" t="s">
        <v>17</v>
      </c>
      <c r="X310" s="16" t="s">
        <v>7349</v>
      </c>
      <c r="Y310" s="16" t="s">
        <v>17</v>
      </c>
      <c r="Z310" s="16" t="s">
        <v>6926</v>
      </c>
    </row>
    <row r="311" spans="1:26" x14ac:dyDescent="0.3">
      <c r="A311" s="16">
        <v>310</v>
      </c>
      <c r="B311" s="16" t="s">
        <v>7170</v>
      </c>
      <c r="C311" s="17">
        <v>9780072432022</v>
      </c>
      <c r="D311" s="17">
        <v>9780072432022</v>
      </c>
      <c r="E311" s="16" t="s">
        <v>7171</v>
      </c>
      <c r="F311" s="16" t="s">
        <v>17</v>
      </c>
      <c r="G311" s="16" t="s">
        <v>17</v>
      </c>
      <c r="H311" s="16" t="s">
        <v>17</v>
      </c>
      <c r="I311" s="16" t="s">
        <v>17</v>
      </c>
      <c r="J311" s="16" t="s">
        <v>17</v>
      </c>
      <c r="K311" s="16" t="s">
        <v>222</v>
      </c>
      <c r="L311" s="16" t="s">
        <v>7172</v>
      </c>
      <c r="M311" s="16" t="s">
        <v>7170</v>
      </c>
      <c r="N311" s="16" t="s">
        <v>17</v>
      </c>
      <c r="O311" s="16" t="s">
        <v>6921</v>
      </c>
      <c r="P311" s="16" t="s">
        <v>17</v>
      </c>
      <c r="Q311" s="16" t="s">
        <v>6922</v>
      </c>
      <c r="R311" s="16" t="s">
        <v>6923</v>
      </c>
      <c r="S311" s="16" t="s">
        <v>17</v>
      </c>
      <c r="T311" s="16" t="s">
        <v>7171</v>
      </c>
      <c r="U311" s="16" t="s">
        <v>17</v>
      </c>
      <c r="V311" s="16" t="s">
        <v>7173</v>
      </c>
      <c r="W311" s="16" t="s">
        <v>17</v>
      </c>
      <c r="X311" s="16" t="s">
        <v>7170</v>
      </c>
      <c r="Y311" s="16" t="s">
        <v>17</v>
      </c>
      <c r="Z311" s="16" t="s">
        <v>6926</v>
      </c>
    </row>
    <row r="312" spans="1:26" x14ac:dyDescent="0.3">
      <c r="A312" s="16">
        <v>311</v>
      </c>
      <c r="B312" s="16" t="s">
        <v>7267</v>
      </c>
      <c r="C312" s="17">
        <v>9781265515478</v>
      </c>
      <c r="D312" s="17">
        <v>9781265515478</v>
      </c>
      <c r="E312" s="16" t="s">
        <v>7268</v>
      </c>
      <c r="F312" s="16" t="s">
        <v>17</v>
      </c>
      <c r="G312" s="16" t="s">
        <v>17</v>
      </c>
      <c r="H312" s="16" t="s">
        <v>17</v>
      </c>
      <c r="I312" s="16" t="s">
        <v>17</v>
      </c>
      <c r="J312" s="16" t="s">
        <v>17</v>
      </c>
      <c r="K312" s="16" t="s">
        <v>299</v>
      </c>
      <c r="L312" s="16" t="s">
        <v>7269</v>
      </c>
      <c r="M312" s="16" t="s">
        <v>7267</v>
      </c>
      <c r="N312" s="16" t="s">
        <v>17</v>
      </c>
      <c r="O312" s="16" t="s">
        <v>6921</v>
      </c>
      <c r="P312" s="16" t="s">
        <v>17</v>
      </c>
      <c r="Q312" s="16" t="s">
        <v>6922</v>
      </c>
      <c r="R312" s="16" t="s">
        <v>6923</v>
      </c>
      <c r="S312" s="16" t="s">
        <v>17</v>
      </c>
      <c r="T312" s="16" t="s">
        <v>7268</v>
      </c>
      <c r="U312" s="16" t="s">
        <v>17</v>
      </c>
      <c r="V312" s="16" t="s">
        <v>6924</v>
      </c>
      <c r="W312" s="16" t="s">
        <v>17</v>
      </c>
      <c r="X312" s="16" t="s">
        <v>7267</v>
      </c>
      <c r="Y312" s="16" t="s">
        <v>17</v>
      </c>
      <c r="Z312" s="16" t="s">
        <v>6926</v>
      </c>
    </row>
    <row r="313" spans="1:26" x14ac:dyDescent="0.3">
      <c r="A313" s="16">
        <v>312</v>
      </c>
      <c r="B313" s="16" t="s">
        <v>7267</v>
      </c>
      <c r="C313" s="17">
        <v>9780071622462</v>
      </c>
      <c r="D313" s="17">
        <v>9780071622462</v>
      </c>
      <c r="E313" s="16" t="s">
        <v>6920</v>
      </c>
      <c r="F313" s="16" t="s">
        <v>17</v>
      </c>
      <c r="G313" s="16" t="s">
        <v>17</v>
      </c>
      <c r="H313" s="16" t="s">
        <v>17</v>
      </c>
      <c r="I313" s="16" t="s">
        <v>17</v>
      </c>
      <c r="J313" s="16" t="s">
        <v>17</v>
      </c>
      <c r="K313" s="16" t="s">
        <v>1444</v>
      </c>
      <c r="L313" s="16" t="s">
        <v>8343</v>
      </c>
      <c r="M313" s="16" t="s">
        <v>7267</v>
      </c>
      <c r="N313" s="16" t="s">
        <v>17</v>
      </c>
      <c r="O313" s="16" t="s">
        <v>6921</v>
      </c>
      <c r="P313" s="16" t="s">
        <v>17</v>
      </c>
      <c r="Q313" s="16" t="s">
        <v>6922</v>
      </c>
      <c r="R313" s="16" t="s">
        <v>6923</v>
      </c>
      <c r="S313" s="16" t="s">
        <v>17</v>
      </c>
      <c r="T313" s="16" t="s">
        <v>6920</v>
      </c>
      <c r="U313" s="16" t="s">
        <v>17</v>
      </c>
      <c r="V313" s="16" t="s">
        <v>6929</v>
      </c>
      <c r="W313" s="16" t="s">
        <v>17</v>
      </c>
      <c r="X313" s="16" t="s">
        <v>7267</v>
      </c>
      <c r="Y313" s="16" t="s">
        <v>17</v>
      </c>
      <c r="Z313" s="16" t="s">
        <v>6926</v>
      </c>
    </row>
    <row r="314" spans="1:26" x14ac:dyDescent="0.3">
      <c r="A314" s="16">
        <v>313</v>
      </c>
      <c r="B314" s="16" t="s">
        <v>8392</v>
      </c>
      <c r="C314" s="17">
        <v>9780071474856</v>
      </c>
      <c r="D314" s="17">
        <v>9780071474856</v>
      </c>
      <c r="E314" s="16" t="s">
        <v>6920</v>
      </c>
      <c r="F314" s="16" t="s">
        <v>17</v>
      </c>
      <c r="G314" s="16" t="s">
        <v>17</v>
      </c>
      <c r="H314" s="16" t="s">
        <v>17</v>
      </c>
      <c r="I314" s="16" t="s">
        <v>17</v>
      </c>
      <c r="J314" s="16" t="s">
        <v>17</v>
      </c>
      <c r="K314" s="16" t="s">
        <v>1587</v>
      </c>
      <c r="L314" s="16" t="s">
        <v>8393</v>
      </c>
      <c r="M314" s="16" t="s">
        <v>8392</v>
      </c>
      <c r="N314" s="16" t="s">
        <v>17</v>
      </c>
      <c r="O314" s="16" t="s">
        <v>6921</v>
      </c>
      <c r="P314" s="16" t="s">
        <v>17</v>
      </c>
      <c r="Q314" s="16" t="s">
        <v>6922</v>
      </c>
      <c r="R314" s="16" t="s">
        <v>6923</v>
      </c>
      <c r="S314" s="16" t="s">
        <v>17</v>
      </c>
      <c r="T314" s="16" t="s">
        <v>6920</v>
      </c>
      <c r="U314" s="16" t="s">
        <v>17</v>
      </c>
      <c r="V314" s="16" t="s">
        <v>6929</v>
      </c>
      <c r="W314" s="16" t="s">
        <v>17</v>
      </c>
      <c r="X314" s="16" t="s">
        <v>8392</v>
      </c>
      <c r="Y314" s="16" t="s">
        <v>17</v>
      </c>
      <c r="Z314" s="16" t="s">
        <v>6926</v>
      </c>
    </row>
    <row r="315" spans="1:26" x14ac:dyDescent="0.3">
      <c r="A315" s="16">
        <v>314</v>
      </c>
      <c r="B315" s="16" t="s">
        <v>7371</v>
      </c>
      <c r="C315" s="17">
        <v>9780071761338</v>
      </c>
      <c r="D315" s="17">
        <v>9780071761338</v>
      </c>
      <c r="E315" s="16" t="s">
        <v>7372</v>
      </c>
      <c r="F315" s="16" t="s">
        <v>17</v>
      </c>
      <c r="G315" s="16" t="s">
        <v>17</v>
      </c>
      <c r="H315" s="16" t="s">
        <v>17</v>
      </c>
      <c r="I315" s="16" t="s">
        <v>17</v>
      </c>
      <c r="J315" s="16" t="s">
        <v>17</v>
      </c>
      <c r="K315" s="16" t="s">
        <v>389</v>
      </c>
      <c r="L315" s="16" t="s">
        <v>7373</v>
      </c>
      <c r="M315" s="16" t="s">
        <v>7371</v>
      </c>
      <c r="N315" s="16" t="s">
        <v>17</v>
      </c>
      <c r="O315" s="16" t="s">
        <v>6921</v>
      </c>
      <c r="P315" s="16" t="s">
        <v>17</v>
      </c>
      <c r="Q315" s="16" t="s">
        <v>6922</v>
      </c>
      <c r="R315" s="16" t="s">
        <v>6923</v>
      </c>
      <c r="S315" s="16" t="s">
        <v>17</v>
      </c>
      <c r="T315" s="16" t="s">
        <v>7372</v>
      </c>
      <c r="U315" s="16" t="s">
        <v>17</v>
      </c>
      <c r="V315" s="16" t="s">
        <v>6924</v>
      </c>
      <c r="W315" s="16" t="s">
        <v>17</v>
      </c>
      <c r="X315" s="16" t="s">
        <v>7371</v>
      </c>
      <c r="Y315" s="16" t="s">
        <v>17</v>
      </c>
      <c r="Z315" s="16" t="s">
        <v>6926</v>
      </c>
    </row>
    <row r="316" spans="1:26" x14ac:dyDescent="0.3">
      <c r="A316" s="16">
        <v>315</v>
      </c>
      <c r="B316" s="16" t="s">
        <v>7580</v>
      </c>
      <c r="C316" s="17">
        <v>9780071498845</v>
      </c>
      <c r="D316" s="17">
        <v>9780071498845</v>
      </c>
      <c r="E316" s="16" t="s">
        <v>6920</v>
      </c>
      <c r="F316" s="16" t="s">
        <v>17</v>
      </c>
      <c r="G316" s="16" t="s">
        <v>17</v>
      </c>
      <c r="H316" s="16" t="s">
        <v>17</v>
      </c>
      <c r="I316" s="16" t="s">
        <v>17</v>
      </c>
      <c r="J316" s="16" t="s">
        <v>17</v>
      </c>
      <c r="K316" s="16" t="s">
        <v>571</v>
      </c>
      <c r="L316" s="16" t="s">
        <v>570</v>
      </c>
      <c r="M316" s="16" t="s">
        <v>7580</v>
      </c>
      <c r="N316" s="16" t="s">
        <v>17</v>
      </c>
      <c r="O316" s="16" t="s">
        <v>6921</v>
      </c>
      <c r="P316" s="16" t="s">
        <v>17</v>
      </c>
      <c r="Q316" s="16" t="s">
        <v>6922</v>
      </c>
      <c r="R316" s="16" t="s">
        <v>6923</v>
      </c>
      <c r="S316" s="16" t="s">
        <v>17</v>
      </c>
      <c r="T316" s="16" t="s">
        <v>6920</v>
      </c>
      <c r="U316" s="16" t="s">
        <v>17</v>
      </c>
      <c r="V316" s="16" t="s">
        <v>7581</v>
      </c>
      <c r="W316" s="16" t="s">
        <v>17</v>
      </c>
      <c r="X316" s="16" t="s">
        <v>7580</v>
      </c>
      <c r="Y316" s="16" t="s">
        <v>17</v>
      </c>
      <c r="Z316" s="16" t="s">
        <v>6926</v>
      </c>
    </row>
    <row r="317" spans="1:26" x14ac:dyDescent="0.3">
      <c r="A317" s="16">
        <v>316</v>
      </c>
      <c r="B317" s="16" t="s">
        <v>7004</v>
      </c>
      <c r="C317" s="17">
        <v>9780071367127</v>
      </c>
      <c r="D317" s="17">
        <v>9780071367127</v>
      </c>
      <c r="E317" s="16" t="s">
        <v>6920</v>
      </c>
      <c r="F317" s="16" t="s">
        <v>17</v>
      </c>
      <c r="G317" s="16" t="s">
        <v>17</v>
      </c>
      <c r="H317" s="16" t="s">
        <v>17</v>
      </c>
      <c r="I317" s="16" t="s">
        <v>17</v>
      </c>
      <c r="J317" s="16" t="s">
        <v>17</v>
      </c>
      <c r="K317" s="16" t="s">
        <v>75</v>
      </c>
      <c r="L317" s="16" t="s">
        <v>7005</v>
      </c>
      <c r="M317" s="16" t="s">
        <v>7004</v>
      </c>
      <c r="N317" s="16" t="s">
        <v>17</v>
      </c>
      <c r="O317" s="16" t="s">
        <v>6921</v>
      </c>
      <c r="P317" s="16" t="s">
        <v>17</v>
      </c>
      <c r="Q317" s="16" t="s">
        <v>6922</v>
      </c>
      <c r="R317" s="16" t="s">
        <v>6923</v>
      </c>
      <c r="S317" s="16" t="s">
        <v>17</v>
      </c>
      <c r="T317" s="16" t="s">
        <v>6920</v>
      </c>
      <c r="U317" s="16" t="s">
        <v>17</v>
      </c>
      <c r="V317" s="16" t="s">
        <v>6929</v>
      </c>
      <c r="W317" s="16" t="s">
        <v>17</v>
      </c>
      <c r="X317" s="16" t="s">
        <v>7004</v>
      </c>
      <c r="Y317" s="16" t="s">
        <v>17</v>
      </c>
      <c r="Z317" s="16" t="s">
        <v>6926</v>
      </c>
    </row>
    <row r="318" spans="1:26" x14ac:dyDescent="0.3">
      <c r="A318" s="16">
        <v>317</v>
      </c>
      <c r="B318" s="16" t="s">
        <v>1199</v>
      </c>
      <c r="C318" s="17">
        <v>9780071766357</v>
      </c>
      <c r="D318" s="17">
        <v>9780071766357</v>
      </c>
      <c r="E318" s="16" t="s">
        <v>8113</v>
      </c>
      <c r="F318" s="16" t="s">
        <v>17</v>
      </c>
      <c r="G318" s="16" t="s">
        <v>17</v>
      </c>
      <c r="H318" s="16" t="s">
        <v>17</v>
      </c>
      <c r="I318" s="16" t="s">
        <v>17</v>
      </c>
      <c r="J318" s="16" t="s">
        <v>17</v>
      </c>
      <c r="K318" s="16" t="s">
        <v>1201</v>
      </c>
      <c r="L318" s="16" t="s">
        <v>1200</v>
      </c>
      <c r="M318" s="16" t="s">
        <v>1199</v>
      </c>
      <c r="N318" s="16" t="s">
        <v>17</v>
      </c>
      <c r="O318" s="16" t="s">
        <v>6921</v>
      </c>
      <c r="P318" s="16" t="s">
        <v>17</v>
      </c>
      <c r="Q318" s="16" t="s">
        <v>6922</v>
      </c>
      <c r="R318" s="16" t="s">
        <v>6923</v>
      </c>
      <c r="S318" s="16" t="s">
        <v>17</v>
      </c>
      <c r="T318" s="16" t="s">
        <v>8113</v>
      </c>
      <c r="U318" s="16" t="s">
        <v>17</v>
      </c>
      <c r="V318" s="16" t="s">
        <v>7049</v>
      </c>
      <c r="W318" s="16" t="s">
        <v>17</v>
      </c>
      <c r="X318" s="16" t="s">
        <v>1199</v>
      </c>
      <c r="Y318" s="16" t="s">
        <v>17</v>
      </c>
      <c r="Z318" s="16" t="s">
        <v>6926</v>
      </c>
    </row>
    <row r="319" spans="1:26" x14ac:dyDescent="0.3">
      <c r="A319" s="16">
        <v>318</v>
      </c>
      <c r="B319" s="16" t="s">
        <v>8087</v>
      </c>
      <c r="C319" s="17">
        <v>9780071740098</v>
      </c>
      <c r="D319" s="17">
        <v>9780071740098</v>
      </c>
      <c r="E319" s="16" t="s">
        <v>6920</v>
      </c>
      <c r="F319" s="16" t="s">
        <v>17</v>
      </c>
      <c r="G319" s="16" t="s">
        <v>17</v>
      </c>
      <c r="H319" s="16" t="s">
        <v>17</v>
      </c>
      <c r="I319" s="16" t="s">
        <v>17</v>
      </c>
      <c r="J319" s="16" t="s">
        <v>17</v>
      </c>
      <c r="K319" s="16" t="s">
        <v>1175</v>
      </c>
      <c r="L319" s="16" t="s">
        <v>7373</v>
      </c>
      <c r="M319" s="16" t="s">
        <v>8087</v>
      </c>
      <c r="N319" s="16" t="s">
        <v>17</v>
      </c>
      <c r="O319" s="16" t="s">
        <v>6921</v>
      </c>
      <c r="P319" s="16" t="s">
        <v>17</v>
      </c>
      <c r="Q319" s="16" t="s">
        <v>6922</v>
      </c>
      <c r="R319" s="16" t="s">
        <v>6923</v>
      </c>
      <c r="S319" s="16" t="s">
        <v>17</v>
      </c>
      <c r="T319" s="16" t="s">
        <v>6920</v>
      </c>
      <c r="U319" s="16" t="s">
        <v>17</v>
      </c>
      <c r="V319" s="16" t="s">
        <v>6924</v>
      </c>
      <c r="W319" s="16" t="s">
        <v>17</v>
      </c>
      <c r="X319" s="16" t="s">
        <v>8087</v>
      </c>
      <c r="Y319" s="16" t="s">
        <v>17</v>
      </c>
      <c r="Z319" s="16" t="s">
        <v>6926</v>
      </c>
    </row>
    <row r="320" spans="1:26" x14ac:dyDescent="0.3">
      <c r="A320" s="16">
        <v>319</v>
      </c>
      <c r="B320" s="16" t="s">
        <v>7735</v>
      </c>
      <c r="C320" s="17">
        <v>9781260026030</v>
      </c>
      <c r="D320" s="17">
        <v>9781260026030</v>
      </c>
      <c r="E320" s="16" t="s">
        <v>7736</v>
      </c>
      <c r="F320" s="16" t="s">
        <v>17</v>
      </c>
      <c r="G320" s="16" t="s">
        <v>17</v>
      </c>
      <c r="H320" s="16" t="s">
        <v>17</v>
      </c>
      <c r="I320" s="16" t="s">
        <v>17</v>
      </c>
      <c r="J320" s="16" t="s">
        <v>17</v>
      </c>
      <c r="K320" s="16" t="s">
        <v>724</v>
      </c>
      <c r="L320" s="16" t="s">
        <v>7737</v>
      </c>
      <c r="M320" s="16" t="s">
        <v>7735</v>
      </c>
      <c r="N320" s="16" t="s">
        <v>17</v>
      </c>
      <c r="O320" s="16" t="s">
        <v>6921</v>
      </c>
      <c r="P320" s="16" t="s">
        <v>17</v>
      </c>
      <c r="Q320" s="16" t="s">
        <v>6922</v>
      </c>
      <c r="R320" s="16" t="s">
        <v>6923</v>
      </c>
      <c r="S320" s="16" t="s">
        <v>17</v>
      </c>
      <c r="T320" s="16" t="s">
        <v>7736</v>
      </c>
      <c r="U320" s="16" t="s">
        <v>17</v>
      </c>
      <c r="V320" s="16" t="s">
        <v>6929</v>
      </c>
      <c r="W320" s="16" t="s">
        <v>17</v>
      </c>
      <c r="X320" s="16" t="s">
        <v>7735</v>
      </c>
      <c r="Y320" s="16" t="s">
        <v>17</v>
      </c>
      <c r="Z320" s="16" t="s">
        <v>6926</v>
      </c>
    </row>
    <row r="321" spans="1:26" x14ac:dyDescent="0.3">
      <c r="A321" s="16">
        <v>320</v>
      </c>
      <c r="B321" s="16" t="s">
        <v>8102</v>
      </c>
      <c r="C321" s="17">
        <v>9781260456950</v>
      </c>
      <c r="D321" s="17">
        <v>9781260456950</v>
      </c>
      <c r="E321" s="16" t="s">
        <v>7509</v>
      </c>
      <c r="F321" s="16" t="s">
        <v>17</v>
      </c>
      <c r="G321" s="16" t="s">
        <v>17</v>
      </c>
      <c r="H321" s="16" t="s">
        <v>17</v>
      </c>
      <c r="I321" s="16" t="s">
        <v>17</v>
      </c>
      <c r="J321" s="16" t="s">
        <v>17</v>
      </c>
      <c r="K321" s="16" t="s">
        <v>1188</v>
      </c>
      <c r="L321" s="16" t="s">
        <v>1187</v>
      </c>
      <c r="M321" s="16" t="s">
        <v>8102</v>
      </c>
      <c r="N321" s="16" t="s">
        <v>17</v>
      </c>
      <c r="O321" s="16" t="s">
        <v>6921</v>
      </c>
      <c r="P321" s="16" t="s">
        <v>17</v>
      </c>
      <c r="Q321" s="16" t="s">
        <v>6922</v>
      </c>
      <c r="R321" s="16" t="s">
        <v>6923</v>
      </c>
      <c r="S321" s="16" t="s">
        <v>17</v>
      </c>
      <c r="T321" s="16" t="s">
        <v>7509</v>
      </c>
      <c r="U321" s="16" t="s">
        <v>17</v>
      </c>
      <c r="V321" s="16" t="s">
        <v>6929</v>
      </c>
      <c r="W321" s="16" t="s">
        <v>17</v>
      </c>
      <c r="X321" s="16" t="s">
        <v>8102</v>
      </c>
      <c r="Y321" s="16" t="s">
        <v>17</v>
      </c>
      <c r="Z321" s="16" t="s">
        <v>6926</v>
      </c>
    </row>
    <row r="322" spans="1:26" x14ac:dyDescent="0.3">
      <c r="A322" s="16">
        <v>321</v>
      </c>
      <c r="B322" s="16" t="s">
        <v>8092</v>
      </c>
      <c r="C322" s="17">
        <v>9781259585616</v>
      </c>
      <c r="D322" s="17">
        <v>9781259585616</v>
      </c>
      <c r="E322" s="16" t="s">
        <v>7213</v>
      </c>
      <c r="F322" s="16" t="s">
        <v>17</v>
      </c>
      <c r="G322" s="16" t="s">
        <v>17</v>
      </c>
      <c r="H322" s="16" t="s">
        <v>17</v>
      </c>
      <c r="I322" s="16" t="s">
        <v>17</v>
      </c>
      <c r="J322" s="16" t="s">
        <v>17</v>
      </c>
      <c r="K322" s="16" t="s">
        <v>1180</v>
      </c>
      <c r="L322" s="16" t="s">
        <v>17</v>
      </c>
      <c r="M322" s="16" t="s">
        <v>8092</v>
      </c>
      <c r="N322" s="16" t="s">
        <v>17</v>
      </c>
      <c r="O322" s="16" t="s">
        <v>6921</v>
      </c>
      <c r="P322" s="16" t="s">
        <v>17</v>
      </c>
      <c r="Q322" s="16" t="s">
        <v>6922</v>
      </c>
      <c r="R322" s="16" t="s">
        <v>6923</v>
      </c>
      <c r="S322" s="16" t="s">
        <v>17</v>
      </c>
      <c r="T322" s="16" t="s">
        <v>7213</v>
      </c>
      <c r="U322" s="16" t="s">
        <v>17</v>
      </c>
      <c r="V322" s="16" t="s">
        <v>6929</v>
      </c>
      <c r="W322" s="16" t="s">
        <v>8093</v>
      </c>
      <c r="X322" s="16" t="s">
        <v>8092</v>
      </c>
      <c r="Y322" s="16" t="s">
        <v>17</v>
      </c>
      <c r="Z322" s="16" t="s">
        <v>6926</v>
      </c>
    </row>
    <row r="323" spans="1:26" x14ac:dyDescent="0.3">
      <c r="A323" s="16">
        <v>322</v>
      </c>
      <c r="B323" s="16" t="s">
        <v>6935</v>
      </c>
      <c r="C323" s="17">
        <v>9780071844635</v>
      </c>
      <c r="D323" s="17">
        <v>9780071844635</v>
      </c>
      <c r="E323" s="16" t="s">
        <v>6936</v>
      </c>
      <c r="F323" s="16" t="s">
        <v>17</v>
      </c>
      <c r="G323" s="16" t="s">
        <v>17</v>
      </c>
      <c r="H323" s="16" t="s">
        <v>17</v>
      </c>
      <c r="I323" s="16" t="s">
        <v>17</v>
      </c>
      <c r="J323" s="16" t="s">
        <v>17</v>
      </c>
      <c r="K323" s="16" t="s">
        <v>29</v>
      </c>
      <c r="L323" s="16" t="s">
        <v>6937</v>
      </c>
      <c r="M323" s="16" t="s">
        <v>6935</v>
      </c>
      <c r="N323" s="16" t="s">
        <v>17</v>
      </c>
      <c r="O323" s="16" t="s">
        <v>6921</v>
      </c>
      <c r="P323" s="16" t="s">
        <v>17</v>
      </c>
      <c r="Q323" s="16" t="s">
        <v>6922</v>
      </c>
      <c r="R323" s="16" t="s">
        <v>6923</v>
      </c>
      <c r="S323" s="16" t="s">
        <v>17</v>
      </c>
      <c r="T323" s="16" t="s">
        <v>6936</v>
      </c>
      <c r="U323" s="16" t="s">
        <v>17</v>
      </c>
      <c r="V323" s="16" t="s">
        <v>6929</v>
      </c>
      <c r="W323" s="16" t="s">
        <v>17</v>
      </c>
      <c r="X323" s="16" t="s">
        <v>6935</v>
      </c>
      <c r="Y323" s="16" t="s">
        <v>17</v>
      </c>
      <c r="Z323" s="16" t="s">
        <v>6926</v>
      </c>
    </row>
    <row r="324" spans="1:26" x14ac:dyDescent="0.3">
      <c r="A324" s="16">
        <v>323</v>
      </c>
      <c r="B324" s="16" t="s">
        <v>7516</v>
      </c>
      <c r="C324" s="17">
        <v>9780071637930</v>
      </c>
      <c r="D324" s="17">
        <v>9780071637930</v>
      </c>
      <c r="E324" s="16" t="s">
        <v>7275</v>
      </c>
      <c r="F324" s="16" t="s">
        <v>17</v>
      </c>
      <c r="G324" s="16" t="s">
        <v>17</v>
      </c>
      <c r="H324" s="16" t="s">
        <v>17</v>
      </c>
      <c r="I324" s="16" t="s">
        <v>17</v>
      </c>
      <c r="J324" s="16" t="s">
        <v>17</v>
      </c>
      <c r="K324" s="16" t="s">
        <v>518</v>
      </c>
      <c r="L324" s="16" t="s">
        <v>17</v>
      </c>
      <c r="M324" s="16" t="s">
        <v>7516</v>
      </c>
      <c r="N324" s="16" t="s">
        <v>17</v>
      </c>
      <c r="O324" s="16" t="s">
        <v>6921</v>
      </c>
      <c r="P324" s="16" t="s">
        <v>17</v>
      </c>
      <c r="Q324" s="16" t="s">
        <v>6922</v>
      </c>
      <c r="R324" s="16" t="s">
        <v>6923</v>
      </c>
      <c r="S324" s="16" t="s">
        <v>17</v>
      </c>
      <c r="T324" s="16" t="s">
        <v>7275</v>
      </c>
      <c r="U324" s="16" t="s">
        <v>17</v>
      </c>
      <c r="V324" s="16" t="s">
        <v>6929</v>
      </c>
      <c r="W324" s="16" t="s">
        <v>7517</v>
      </c>
      <c r="X324" s="16" t="s">
        <v>7516</v>
      </c>
      <c r="Y324" s="16" t="s">
        <v>17</v>
      </c>
      <c r="Z324" s="16" t="s">
        <v>6926</v>
      </c>
    </row>
    <row r="325" spans="1:26" x14ac:dyDescent="0.3">
      <c r="A325" s="16">
        <v>324</v>
      </c>
      <c r="B325" s="16" t="s">
        <v>7668</v>
      </c>
      <c r="C325" s="17">
        <v>9781265079659</v>
      </c>
      <c r="D325" s="17">
        <v>9781265079659</v>
      </c>
      <c r="E325" s="16" t="s">
        <v>7669</v>
      </c>
      <c r="F325" s="16" t="s">
        <v>17</v>
      </c>
      <c r="G325" s="16" t="s">
        <v>17</v>
      </c>
      <c r="H325" s="16" t="s">
        <v>17</v>
      </c>
      <c r="I325" s="16" t="s">
        <v>17</v>
      </c>
      <c r="J325" s="16" t="s">
        <v>17</v>
      </c>
      <c r="K325" s="16" t="s">
        <v>659</v>
      </c>
      <c r="L325" s="16" t="s">
        <v>658</v>
      </c>
      <c r="M325" s="16" t="s">
        <v>7668</v>
      </c>
      <c r="N325" s="16" t="s">
        <v>17</v>
      </c>
      <c r="O325" s="16" t="s">
        <v>6921</v>
      </c>
      <c r="P325" s="16" t="s">
        <v>17</v>
      </c>
      <c r="Q325" s="16" t="s">
        <v>6922</v>
      </c>
      <c r="R325" s="16" t="s">
        <v>6923</v>
      </c>
      <c r="S325" s="16" t="s">
        <v>17</v>
      </c>
      <c r="T325" s="16" t="s">
        <v>7669</v>
      </c>
      <c r="U325" s="16" t="s">
        <v>17</v>
      </c>
      <c r="V325" s="16" t="s">
        <v>6924</v>
      </c>
      <c r="W325" s="16" t="s">
        <v>17</v>
      </c>
      <c r="X325" s="16" t="s">
        <v>7668</v>
      </c>
      <c r="Y325" s="16" t="s">
        <v>17</v>
      </c>
      <c r="Z325" s="16" t="s">
        <v>6926</v>
      </c>
    </row>
    <row r="326" spans="1:26" x14ac:dyDescent="0.3">
      <c r="A326" s="16">
        <v>325</v>
      </c>
      <c r="B326" s="16" t="s">
        <v>7668</v>
      </c>
      <c r="C326" s="17">
        <v>9781260455304</v>
      </c>
      <c r="D326" s="17">
        <v>9781260455304</v>
      </c>
      <c r="E326" s="16" t="s">
        <v>8219</v>
      </c>
      <c r="F326" s="16" t="s">
        <v>17</v>
      </c>
      <c r="G326" s="16" t="s">
        <v>17</v>
      </c>
      <c r="H326" s="16" t="s">
        <v>17</v>
      </c>
      <c r="I326" s="16" t="s">
        <v>17</v>
      </c>
      <c r="J326" s="16" t="s">
        <v>17</v>
      </c>
      <c r="K326" s="16" t="s">
        <v>1557</v>
      </c>
      <c r="L326" s="16" t="s">
        <v>658</v>
      </c>
      <c r="M326" s="16" t="s">
        <v>7668</v>
      </c>
      <c r="N326" s="16" t="s">
        <v>17</v>
      </c>
      <c r="O326" s="16" t="s">
        <v>6921</v>
      </c>
      <c r="P326" s="16" t="s">
        <v>17</v>
      </c>
      <c r="Q326" s="16" t="s">
        <v>6922</v>
      </c>
      <c r="R326" s="16" t="s">
        <v>6923</v>
      </c>
      <c r="S326" s="16" t="s">
        <v>17</v>
      </c>
      <c r="T326" s="16" t="s">
        <v>8219</v>
      </c>
      <c r="U326" s="16" t="s">
        <v>17</v>
      </c>
      <c r="V326" s="16" t="s">
        <v>6929</v>
      </c>
      <c r="W326" s="16" t="s">
        <v>17</v>
      </c>
      <c r="X326" s="16" t="s">
        <v>7668</v>
      </c>
      <c r="Y326" s="16" t="s">
        <v>17</v>
      </c>
      <c r="Z326" s="16" t="s">
        <v>6926</v>
      </c>
    </row>
    <row r="327" spans="1:26" x14ac:dyDescent="0.3">
      <c r="A327" s="16">
        <v>326</v>
      </c>
      <c r="B327" s="16" t="s">
        <v>8224</v>
      </c>
      <c r="C327" s="17">
        <v>9781260459999</v>
      </c>
      <c r="D327" s="17">
        <v>9781260459999</v>
      </c>
      <c r="E327" s="16" t="s">
        <v>8225</v>
      </c>
      <c r="F327" s="16" t="s">
        <v>17</v>
      </c>
      <c r="G327" s="16" t="s">
        <v>17</v>
      </c>
      <c r="H327" s="16" t="s">
        <v>17</v>
      </c>
      <c r="I327" s="16" t="s">
        <v>17</v>
      </c>
      <c r="J327" s="16" t="s">
        <v>17</v>
      </c>
      <c r="K327" s="16" t="s">
        <v>1303</v>
      </c>
      <c r="L327" s="16" t="s">
        <v>1302</v>
      </c>
      <c r="M327" s="16" t="s">
        <v>8224</v>
      </c>
      <c r="N327" s="16" t="s">
        <v>17</v>
      </c>
      <c r="O327" s="16" t="s">
        <v>6921</v>
      </c>
      <c r="P327" s="16" t="s">
        <v>17</v>
      </c>
      <c r="Q327" s="16" t="s">
        <v>6922</v>
      </c>
      <c r="R327" s="16" t="s">
        <v>6923</v>
      </c>
      <c r="S327" s="16" t="s">
        <v>17</v>
      </c>
      <c r="T327" s="16" t="s">
        <v>8225</v>
      </c>
      <c r="U327" s="16" t="s">
        <v>17</v>
      </c>
      <c r="V327" s="16" t="s">
        <v>6929</v>
      </c>
      <c r="W327" s="16" t="s">
        <v>17</v>
      </c>
      <c r="X327" s="16" t="s">
        <v>8224</v>
      </c>
      <c r="Y327" s="16" t="s">
        <v>17</v>
      </c>
      <c r="Z327" s="16" t="s">
        <v>6926</v>
      </c>
    </row>
    <row r="328" spans="1:26" x14ac:dyDescent="0.3">
      <c r="A328" s="16">
        <v>327</v>
      </c>
      <c r="B328" s="16" t="s">
        <v>7709</v>
      </c>
      <c r="C328" s="17">
        <v>9781260467789</v>
      </c>
      <c r="D328" s="17">
        <v>9781260467789</v>
      </c>
      <c r="E328" s="16" t="s">
        <v>7704</v>
      </c>
      <c r="F328" s="16" t="s">
        <v>17</v>
      </c>
      <c r="G328" s="16" t="s">
        <v>17</v>
      </c>
      <c r="H328" s="16" t="s">
        <v>17</v>
      </c>
      <c r="I328" s="16" t="s">
        <v>17</v>
      </c>
      <c r="J328" s="16" t="s">
        <v>17</v>
      </c>
      <c r="K328" s="16" t="s">
        <v>695</v>
      </c>
      <c r="L328" s="16" t="s">
        <v>694</v>
      </c>
      <c r="M328" s="16" t="s">
        <v>7709</v>
      </c>
      <c r="N328" s="16" t="s">
        <v>17</v>
      </c>
      <c r="O328" s="16" t="s">
        <v>6921</v>
      </c>
      <c r="P328" s="16" t="s">
        <v>17</v>
      </c>
      <c r="Q328" s="16" t="s">
        <v>6922</v>
      </c>
      <c r="R328" s="16" t="s">
        <v>6923</v>
      </c>
      <c r="S328" s="16" t="s">
        <v>17</v>
      </c>
      <c r="T328" s="16" t="s">
        <v>7704</v>
      </c>
      <c r="U328" s="16" t="s">
        <v>17</v>
      </c>
      <c r="V328" s="16" t="s">
        <v>6929</v>
      </c>
      <c r="W328" s="16" t="s">
        <v>17</v>
      </c>
      <c r="X328" s="16" t="s">
        <v>7709</v>
      </c>
      <c r="Y328" s="16" t="s">
        <v>17</v>
      </c>
      <c r="Z328" s="16" t="s">
        <v>6926</v>
      </c>
    </row>
    <row r="329" spans="1:26" x14ac:dyDescent="0.3">
      <c r="A329" s="16">
        <v>328</v>
      </c>
      <c r="B329" s="16" t="s">
        <v>1044</v>
      </c>
      <c r="C329" s="17">
        <v>9780071482806</v>
      </c>
      <c r="D329" s="17">
        <v>9780071482806</v>
      </c>
      <c r="E329" s="16" t="s">
        <v>6920</v>
      </c>
      <c r="F329" s="16" t="s">
        <v>17</v>
      </c>
      <c r="G329" s="16" t="s">
        <v>17</v>
      </c>
      <c r="H329" s="16" t="s">
        <v>17</v>
      </c>
      <c r="I329" s="16" t="s">
        <v>17</v>
      </c>
      <c r="J329" s="16" t="s">
        <v>17</v>
      </c>
      <c r="K329" s="16" t="s">
        <v>1046</v>
      </c>
      <c r="L329" s="16" t="s">
        <v>1045</v>
      </c>
      <c r="M329" s="16" t="s">
        <v>1044</v>
      </c>
      <c r="N329" s="16" t="s">
        <v>17</v>
      </c>
      <c r="O329" s="16" t="s">
        <v>6921</v>
      </c>
      <c r="P329" s="16" t="s">
        <v>17</v>
      </c>
      <c r="Q329" s="16" t="s">
        <v>6922</v>
      </c>
      <c r="R329" s="16" t="s">
        <v>6923</v>
      </c>
      <c r="S329" s="16" t="s">
        <v>17</v>
      </c>
      <c r="T329" s="16" t="s">
        <v>6920</v>
      </c>
      <c r="U329" s="16" t="s">
        <v>17</v>
      </c>
      <c r="V329" s="16" t="s">
        <v>7049</v>
      </c>
      <c r="W329" s="16" t="s">
        <v>17</v>
      </c>
      <c r="X329" s="16" t="s">
        <v>1044</v>
      </c>
      <c r="Y329" s="16" t="s">
        <v>17</v>
      </c>
      <c r="Z329" s="16" t="s">
        <v>6926</v>
      </c>
    </row>
    <row r="330" spans="1:26" x14ac:dyDescent="0.3">
      <c r="A330" s="16">
        <v>329</v>
      </c>
      <c r="B330" s="16" t="s">
        <v>8168</v>
      </c>
      <c r="C330" s="17">
        <v>9781259861550</v>
      </c>
      <c r="D330" s="17">
        <v>9781259861550</v>
      </c>
      <c r="E330" s="16" t="s">
        <v>8169</v>
      </c>
      <c r="F330" s="16" t="s">
        <v>17</v>
      </c>
      <c r="G330" s="16" t="s">
        <v>17</v>
      </c>
      <c r="H330" s="16" t="s">
        <v>17</v>
      </c>
      <c r="I330" s="16" t="s">
        <v>17</v>
      </c>
      <c r="J330" s="16" t="s">
        <v>17</v>
      </c>
      <c r="K330" s="16" t="s">
        <v>1252</v>
      </c>
      <c r="L330" s="16" t="s">
        <v>17</v>
      </c>
      <c r="M330" s="16" t="s">
        <v>8168</v>
      </c>
      <c r="N330" s="16" t="s">
        <v>17</v>
      </c>
      <c r="O330" s="16" t="s">
        <v>6921</v>
      </c>
      <c r="P330" s="16" t="s">
        <v>17</v>
      </c>
      <c r="Q330" s="16" t="s">
        <v>6922</v>
      </c>
      <c r="R330" s="16" t="s">
        <v>6923</v>
      </c>
      <c r="S330" s="16" t="s">
        <v>17</v>
      </c>
      <c r="T330" s="16" t="s">
        <v>8169</v>
      </c>
      <c r="U330" s="16" t="s">
        <v>17</v>
      </c>
      <c r="V330" s="16" t="s">
        <v>6924</v>
      </c>
      <c r="W330" s="16" t="s">
        <v>8170</v>
      </c>
      <c r="X330" s="16" t="s">
        <v>8168</v>
      </c>
      <c r="Y330" s="16" t="s">
        <v>17</v>
      </c>
      <c r="Z330" s="16" t="s">
        <v>6926</v>
      </c>
    </row>
    <row r="331" spans="1:26" x14ac:dyDescent="0.3">
      <c r="A331" s="16">
        <v>330</v>
      </c>
      <c r="B331" s="16" t="s">
        <v>7529</v>
      </c>
      <c r="C331" s="17">
        <v>9781266161117</v>
      </c>
      <c r="D331" s="17">
        <v>9781266161117</v>
      </c>
      <c r="E331" s="16" t="s">
        <v>7530</v>
      </c>
      <c r="F331" s="16" t="s">
        <v>17</v>
      </c>
      <c r="G331" s="16" t="s">
        <v>17</v>
      </c>
      <c r="H331" s="16" t="s">
        <v>17</v>
      </c>
      <c r="I331" s="16" t="s">
        <v>17</v>
      </c>
      <c r="J331" s="16" t="s">
        <v>17</v>
      </c>
      <c r="K331" s="16" t="s">
        <v>527</v>
      </c>
      <c r="L331" s="16" t="s">
        <v>525</v>
      </c>
      <c r="M331" s="16" t="s">
        <v>7529</v>
      </c>
      <c r="N331" s="16" t="s">
        <v>17</v>
      </c>
      <c r="O331" s="16" t="s">
        <v>6921</v>
      </c>
      <c r="P331" s="16" t="s">
        <v>17</v>
      </c>
      <c r="Q331" s="16" t="s">
        <v>6922</v>
      </c>
      <c r="R331" s="16" t="s">
        <v>6923</v>
      </c>
      <c r="S331" s="16" t="s">
        <v>17</v>
      </c>
      <c r="T331" s="16" t="s">
        <v>7530</v>
      </c>
      <c r="U331" s="16" t="s">
        <v>17</v>
      </c>
      <c r="V331" s="16" t="s">
        <v>6924</v>
      </c>
      <c r="W331" s="16" t="s">
        <v>17</v>
      </c>
      <c r="X331" s="16" t="s">
        <v>7529</v>
      </c>
      <c r="Y331" s="16" t="s">
        <v>17</v>
      </c>
      <c r="Z331" s="16" t="s">
        <v>6926</v>
      </c>
    </row>
    <row r="332" spans="1:26" x14ac:dyDescent="0.3">
      <c r="A332" s="16">
        <v>331</v>
      </c>
      <c r="B332" s="16" t="s">
        <v>7529</v>
      </c>
      <c r="C332" s="17">
        <v>9781260011340</v>
      </c>
      <c r="D332" s="17">
        <v>9781260011340</v>
      </c>
      <c r="E332" s="16" t="s">
        <v>7211</v>
      </c>
      <c r="F332" s="16" t="s">
        <v>17</v>
      </c>
      <c r="G332" s="16" t="s">
        <v>17</v>
      </c>
      <c r="H332" s="16" t="s">
        <v>17</v>
      </c>
      <c r="I332" s="16" t="s">
        <v>17</v>
      </c>
      <c r="J332" s="16" t="s">
        <v>17</v>
      </c>
      <c r="K332" s="16" t="s">
        <v>1205</v>
      </c>
      <c r="L332" s="16" t="s">
        <v>525</v>
      </c>
      <c r="M332" s="16" t="s">
        <v>7529</v>
      </c>
      <c r="N332" s="16" t="s">
        <v>17</v>
      </c>
      <c r="O332" s="16" t="s">
        <v>6921</v>
      </c>
      <c r="P332" s="16" t="s">
        <v>17</v>
      </c>
      <c r="Q332" s="16" t="s">
        <v>6922</v>
      </c>
      <c r="R332" s="16" t="s">
        <v>6923</v>
      </c>
      <c r="S332" s="16" t="s">
        <v>17</v>
      </c>
      <c r="T332" s="16" t="s">
        <v>7211</v>
      </c>
      <c r="U332" s="16" t="s">
        <v>17</v>
      </c>
      <c r="V332" s="16" t="s">
        <v>6929</v>
      </c>
      <c r="W332" s="16" t="s">
        <v>17</v>
      </c>
      <c r="X332" s="16" t="s">
        <v>7529</v>
      </c>
      <c r="Y332" s="16" t="s">
        <v>17</v>
      </c>
      <c r="Z332" s="16" t="s">
        <v>6926</v>
      </c>
    </row>
    <row r="333" spans="1:26" x14ac:dyDescent="0.3">
      <c r="A333" s="16">
        <v>332</v>
      </c>
      <c r="B333" s="16" t="s">
        <v>7904</v>
      </c>
      <c r="C333" s="17">
        <v>9780071834971</v>
      </c>
      <c r="D333" s="17">
        <v>9780071834971</v>
      </c>
      <c r="E333" s="16" t="s">
        <v>6939</v>
      </c>
      <c r="F333" s="16" t="s">
        <v>17</v>
      </c>
      <c r="G333" s="16" t="s">
        <v>17</v>
      </c>
      <c r="H333" s="16" t="s">
        <v>17</v>
      </c>
      <c r="I333" s="16" t="s">
        <v>17</v>
      </c>
      <c r="J333" s="16" t="s">
        <v>17</v>
      </c>
      <c r="K333" s="16" t="s">
        <v>907</v>
      </c>
      <c r="L333" s="16" t="s">
        <v>7905</v>
      </c>
      <c r="M333" s="16" t="s">
        <v>7904</v>
      </c>
      <c r="N333" s="16" t="s">
        <v>17</v>
      </c>
      <c r="O333" s="16" t="s">
        <v>6921</v>
      </c>
      <c r="P333" s="16" t="s">
        <v>17</v>
      </c>
      <c r="Q333" s="16" t="s">
        <v>6922</v>
      </c>
      <c r="R333" s="16" t="s">
        <v>6923</v>
      </c>
      <c r="S333" s="16" t="s">
        <v>17</v>
      </c>
      <c r="T333" s="16" t="s">
        <v>6939</v>
      </c>
      <c r="U333" s="16" t="s">
        <v>17</v>
      </c>
      <c r="V333" s="16" t="s">
        <v>6929</v>
      </c>
      <c r="W333" s="16" t="s">
        <v>17</v>
      </c>
      <c r="X333" s="16" t="s">
        <v>7904</v>
      </c>
      <c r="Y333" s="16" t="s">
        <v>17</v>
      </c>
      <c r="Z333" s="16" t="s">
        <v>6926</v>
      </c>
    </row>
    <row r="334" spans="1:26" x14ac:dyDescent="0.3">
      <c r="A334" s="16">
        <v>333</v>
      </c>
      <c r="B334" s="16" t="s">
        <v>8201</v>
      </c>
      <c r="C334" s="17">
        <v>9781260122251</v>
      </c>
      <c r="D334" s="17">
        <v>9781260122251</v>
      </c>
      <c r="E334" s="16" t="s">
        <v>8202</v>
      </c>
      <c r="F334" s="16" t="s">
        <v>17</v>
      </c>
      <c r="G334" s="16" t="s">
        <v>17</v>
      </c>
      <c r="H334" s="16" t="s">
        <v>17</v>
      </c>
      <c r="I334" s="16" t="s">
        <v>17</v>
      </c>
      <c r="J334" s="16" t="s">
        <v>17</v>
      </c>
      <c r="K334" s="16" t="s">
        <v>1280</v>
      </c>
      <c r="L334" s="16" t="s">
        <v>8203</v>
      </c>
      <c r="M334" s="16" t="s">
        <v>8201</v>
      </c>
      <c r="N334" s="16" t="s">
        <v>17</v>
      </c>
      <c r="O334" s="16" t="s">
        <v>6921</v>
      </c>
      <c r="P334" s="16" t="s">
        <v>17</v>
      </c>
      <c r="Q334" s="16" t="s">
        <v>6922</v>
      </c>
      <c r="R334" s="16" t="s">
        <v>6923</v>
      </c>
      <c r="S334" s="16" t="s">
        <v>17</v>
      </c>
      <c r="T334" s="16" t="s">
        <v>8202</v>
      </c>
      <c r="U334" s="16" t="s">
        <v>17</v>
      </c>
      <c r="V334" s="16" t="s">
        <v>6924</v>
      </c>
      <c r="W334" s="16" t="s">
        <v>17</v>
      </c>
      <c r="X334" s="16" t="s">
        <v>8201</v>
      </c>
      <c r="Y334" s="16" t="s">
        <v>17</v>
      </c>
      <c r="Z334" s="16" t="s">
        <v>6926</v>
      </c>
    </row>
    <row r="335" spans="1:26" x14ac:dyDescent="0.3">
      <c r="A335" s="16">
        <v>334</v>
      </c>
      <c r="B335" s="16" t="s">
        <v>7785</v>
      </c>
      <c r="C335" s="17">
        <v>9781264257584</v>
      </c>
      <c r="D335" s="17">
        <v>9781264257584</v>
      </c>
      <c r="E335" s="16" t="s">
        <v>7632</v>
      </c>
      <c r="F335" s="16" t="s">
        <v>17</v>
      </c>
      <c r="G335" s="16" t="s">
        <v>17</v>
      </c>
      <c r="H335" s="16" t="s">
        <v>17</v>
      </c>
      <c r="I335" s="16" t="s">
        <v>17</v>
      </c>
      <c r="J335" s="16" t="s">
        <v>17</v>
      </c>
      <c r="K335" s="16" t="s">
        <v>762</v>
      </c>
      <c r="L335" s="16" t="s">
        <v>7786</v>
      </c>
      <c r="M335" s="16" t="s">
        <v>7785</v>
      </c>
      <c r="N335" s="16" t="s">
        <v>17</v>
      </c>
      <c r="O335" s="16" t="s">
        <v>6921</v>
      </c>
      <c r="P335" s="16" t="s">
        <v>17</v>
      </c>
      <c r="Q335" s="16" t="s">
        <v>6922</v>
      </c>
      <c r="R335" s="16" t="s">
        <v>6923</v>
      </c>
      <c r="S335" s="16" t="s">
        <v>17</v>
      </c>
      <c r="T335" s="16" t="s">
        <v>7632</v>
      </c>
      <c r="U335" s="16" t="s">
        <v>17</v>
      </c>
      <c r="V335" s="16" t="s">
        <v>6929</v>
      </c>
      <c r="W335" s="16" t="s">
        <v>17</v>
      </c>
      <c r="X335" s="16" t="s">
        <v>7785</v>
      </c>
      <c r="Y335" s="16" t="s">
        <v>17</v>
      </c>
      <c r="Z335" s="16" t="s">
        <v>6926</v>
      </c>
    </row>
    <row r="336" spans="1:26" x14ac:dyDescent="0.3">
      <c r="A336" s="16">
        <v>335</v>
      </c>
      <c r="B336" s="16" t="s">
        <v>823</v>
      </c>
      <c r="C336" s="17">
        <v>9780071371698</v>
      </c>
      <c r="D336" s="17">
        <v>9780071371698</v>
      </c>
      <c r="E336" s="16" t="s">
        <v>6920</v>
      </c>
      <c r="F336" s="16" t="s">
        <v>17</v>
      </c>
      <c r="G336" s="16" t="s">
        <v>17</v>
      </c>
      <c r="H336" s="16" t="s">
        <v>17</v>
      </c>
      <c r="I336" s="16" t="s">
        <v>17</v>
      </c>
      <c r="J336" s="16" t="s">
        <v>17</v>
      </c>
      <c r="K336" s="16" t="s">
        <v>824</v>
      </c>
      <c r="L336" s="16" t="s">
        <v>502</v>
      </c>
      <c r="M336" s="16" t="s">
        <v>823</v>
      </c>
      <c r="N336" s="16" t="s">
        <v>17</v>
      </c>
      <c r="O336" s="16" t="s">
        <v>6921</v>
      </c>
      <c r="P336" s="16" t="s">
        <v>17</v>
      </c>
      <c r="Q336" s="16" t="s">
        <v>6922</v>
      </c>
      <c r="R336" s="16" t="s">
        <v>6923</v>
      </c>
      <c r="S336" s="16" t="s">
        <v>17</v>
      </c>
      <c r="T336" s="16" t="s">
        <v>6920</v>
      </c>
      <c r="U336" s="16" t="s">
        <v>17</v>
      </c>
      <c r="V336" s="16" t="s">
        <v>7049</v>
      </c>
      <c r="W336" s="16" t="s">
        <v>17</v>
      </c>
      <c r="X336" s="16" t="s">
        <v>823</v>
      </c>
      <c r="Y336" s="16" t="s">
        <v>17</v>
      </c>
      <c r="Z336" s="16" t="s">
        <v>6926</v>
      </c>
    </row>
    <row r="337" spans="1:26" x14ac:dyDescent="0.3">
      <c r="A337" s="16">
        <v>336</v>
      </c>
      <c r="B337" s="16" t="s">
        <v>7648</v>
      </c>
      <c r="C337" s="17">
        <v>9781260468717</v>
      </c>
      <c r="D337" s="17">
        <v>9781260468717</v>
      </c>
      <c r="E337" s="16" t="s">
        <v>7649</v>
      </c>
      <c r="F337" s="16" t="s">
        <v>17</v>
      </c>
      <c r="G337" s="16" t="s">
        <v>17</v>
      </c>
      <c r="H337" s="16" t="s">
        <v>17</v>
      </c>
      <c r="I337" s="16" t="s">
        <v>17</v>
      </c>
      <c r="J337" s="16" t="s">
        <v>17</v>
      </c>
      <c r="K337" s="16" t="s">
        <v>638</v>
      </c>
      <c r="L337" s="16" t="s">
        <v>7650</v>
      </c>
      <c r="M337" s="16" t="s">
        <v>7648</v>
      </c>
      <c r="N337" s="16" t="s">
        <v>17</v>
      </c>
      <c r="O337" s="16" t="s">
        <v>6921</v>
      </c>
      <c r="P337" s="16" t="s">
        <v>17</v>
      </c>
      <c r="Q337" s="16" t="s">
        <v>6922</v>
      </c>
      <c r="R337" s="16" t="s">
        <v>6923</v>
      </c>
      <c r="S337" s="16" t="s">
        <v>17</v>
      </c>
      <c r="T337" s="16" t="s">
        <v>7649</v>
      </c>
      <c r="U337" s="16" t="s">
        <v>17</v>
      </c>
      <c r="V337" s="16" t="s">
        <v>6949</v>
      </c>
      <c r="W337" s="16" t="s">
        <v>17</v>
      </c>
      <c r="X337" s="16" t="s">
        <v>7648</v>
      </c>
      <c r="Y337" s="16" t="s">
        <v>17</v>
      </c>
      <c r="Z337" s="16" t="s">
        <v>6926</v>
      </c>
    </row>
    <row r="338" spans="1:26" x14ac:dyDescent="0.3">
      <c r="A338" s="16">
        <v>337</v>
      </c>
      <c r="B338" s="16" t="s">
        <v>7648</v>
      </c>
      <c r="C338" s="17">
        <v>9780071798327</v>
      </c>
      <c r="D338" s="17">
        <v>9780071798327</v>
      </c>
      <c r="E338" s="16" t="s">
        <v>7063</v>
      </c>
      <c r="F338" s="16" t="s">
        <v>17</v>
      </c>
      <c r="G338" s="16" t="s">
        <v>17</v>
      </c>
      <c r="H338" s="16" t="s">
        <v>17</v>
      </c>
      <c r="I338" s="16" t="s">
        <v>17</v>
      </c>
      <c r="J338" s="16" t="s">
        <v>17</v>
      </c>
      <c r="K338" s="16" t="s">
        <v>941</v>
      </c>
      <c r="L338" s="16" t="s">
        <v>7650</v>
      </c>
      <c r="M338" s="16" t="s">
        <v>7648</v>
      </c>
      <c r="N338" s="16" t="s">
        <v>17</v>
      </c>
      <c r="O338" s="16" t="s">
        <v>6921</v>
      </c>
      <c r="P338" s="16" t="s">
        <v>17</v>
      </c>
      <c r="Q338" s="16" t="s">
        <v>6922</v>
      </c>
      <c r="R338" s="16" t="s">
        <v>6923</v>
      </c>
      <c r="S338" s="16" t="s">
        <v>17</v>
      </c>
      <c r="T338" s="16" t="s">
        <v>7063</v>
      </c>
      <c r="U338" s="16" t="s">
        <v>17</v>
      </c>
      <c r="V338" s="16" t="s">
        <v>6924</v>
      </c>
      <c r="W338" s="16" t="s">
        <v>17</v>
      </c>
      <c r="X338" s="16" t="s">
        <v>7648</v>
      </c>
      <c r="Y338" s="16" t="s">
        <v>17</v>
      </c>
      <c r="Z338" s="16" t="s">
        <v>6926</v>
      </c>
    </row>
    <row r="339" spans="1:26" x14ac:dyDescent="0.3">
      <c r="A339" s="16">
        <v>338</v>
      </c>
      <c r="B339" s="16" t="s">
        <v>7463</v>
      </c>
      <c r="C339" s="17">
        <v>9781264675913</v>
      </c>
      <c r="D339" s="17">
        <v>9781264675913</v>
      </c>
      <c r="E339" s="16" t="s">
        <v>7464</v>
      </c>
      <c r="F339" s="16" t="s">
        <v>17</v>
      </c>
      <c r="G339" s="16" t="s">
        <v>17</v>
      </c>
      <c r="H339" s="16" t="s">
        <v>17</v>
      </c>
      <c r="I339" s="16" t="s">
        <v>17</v>
      </c>
      <c r="J339" s="16" t="s">
        <v>17</v>
      </c>
      <c r="K339" s="16" t="s">
        <v>470</v>
      </c>
      <c r="L339" s="16" t="s">
        <v>7465</v>
      </c>
      <c r="M339" s="16" t="s">
        <v>7463</v>
      </c>
      <c r="N339" s="16" t="s">
        <v>17</v>
      </c>
      <c r="O339" s="16" t="s">
        <v>6921</v>
      </c>
      <c r="P339" s="16" t="s">
        <v>17</v>
      </c>
      <c r="Q339" s="16" t="s">
        <v>6922</v>
      </c>
      <c r="R339" s="16" t="s">
        <v>6923</v>
      </c>
      <c r="S339" s="16" t="s">
        <v>17</v>
      </c>
      <c r="T339" s="16" t="s">
        <v>7464</v>
      </c>
      <c r="U339" s="16" t="s">
        <v>17</v>
      </c>
      <c r="V339" s="16" t="s">
        <v>6929</v>
      </c>
      <c r="W339" s="16" t="s">
        <v>17</v>
      </c>
      <c r="X339" s="16" t="s">
        <v>7463</v>
      </c>
      <c r="Y339" s="16" t="s">
        <v>17</v>
      </c>
      <c r="Z339" s="16" t="s">
        <v>6926</v>
      </c>
    </row>
    <row r="340" spans="1:26" x14ac:dyDescent="0.3">
      <c r="A340" s="16">
        <v>339</v>
      </c>
      <c r="B340" s="16" t="s">
        <v>8233</v>
      </c>
      <c r="C340" s="17">
        <v>9781260453782</v>
      </c>
      <c r="D340" s="17">
        <v>9781260453782</v>
      </c>
      <c r="E340" s="16" t="s">
        <v>8183</v>
      </c>
      <c r="F340" s="16" t="s">
        <v>17</v>
      </c>
      <c r="G340" s="16" t="s">
        <v>17</v>
      </c>
      <c r="H340" s="16" t="s">
        <v>17</v>
      </c>
      <c r="I340" s="16" t="s">
        <v>17</v>
      </c>
      <c r="J340" s="16" t="s">
        <v>17</v>
      </c>
      <c r="K340" s="16" t="s">
        <v>1310</v>
      </c>
      <c r="L340" s="16" t="s">
        <v>8234</v>
      </c>
      <c r="M340" s="16" t="s">
        <v>8233</v>
      </c>
      <c r="N340" s="16" t="s">
        <v>17</v>
      </c>
      <c r="O340" s="16" t="s">
        <v>6921</v>
      </c>
      <c r="P340" s="16" t="s">
        <v>17</v>
      </c>
      <c r="Q340" s="16" t="s">
        <v>6922</v>
      </c>
      <c r="R340" s="16" t="s">
        <v>6923</v>
      </c>
      <c r="S340" s="16" t="s">
        <v>17</v>
      </c>
      <c r="T340" s="16" t="s">
        <v>8183</v>
      </c>
      <c r="U340" s="16" t="s">
        <v>17</v>
      </c>
      <c r="V340" s="16" t="s">
        <v>6949</v>
      </c>
      <c r="W340" s="16" t="s">
        <v>17</v>
      </c>
      <c r="X340" s="16" t="s">
        <v>8233</v>
      </c>
      <c r="Y340" s="16" t="s">
        <v>17</v>
      </c>
      <c r="Z340" s="16" t="s">
        <v>6926</v>
      </c>
    </row>
    <row r="341" spans="1:26" x14ac:dyDescent="0.3">
      <c r="A341" s="16">
        <v>340</v>
      </c>
      <c r="B341" s="16" t="s">
        <v>1550</v>
      </c>
      <c r="C341" s="17">
        <v>9780071772129</v>
      </c>
      <c r="D341" s="17">
        <v>9780071772129</v>
      </c>
      <c r="E341" s="16" t="s">
        <v>7700</v>
      </c>
      <c r="F341" s="16" t="s">
        <v>17</v>
      </c>
      <c r="G341" s="16" t="s">
        <v>17</v>
      </c>
      <c r="H341" s="16" t="s">
        <v>17</v>
      </c>
      <c r="I341" s="16" t="s">
        <v>17</v>
      </c>
      <c r="J341" s="16" t="s">
        <v>17</v>
      </c>
      <c r="K341" s="16" t="s">
        <v>1551</v>
      </c>
      <c r="L341" s="16" t="s">
        <v>1309</v>
      </c>
      <c r="M341" s="16" t="s">
        <v>1550</v>
      </c>
      <c r="N341" s="16" t="s">
        <v>17</v>
      </c>
      <c r="O341" s="16" t="s">
        <v>6921</v>
      </c>
      <c r="P341" s="16" t="s">
        <v>17</v>
      </c>
      <c r="Q341" s="16" t="s">
        <v>6922</v>
      </c>
      <c r="R341" s="16" t="s">
        <v>6923</v>
      </c>
      <c r="S341" s="16" t="s">
        <v>17</v>
      </c>
      <c r="T341" s="16" t="s">
        <v>7700</v>
      </c>
      <c r="U341" s="16" t="s">
        <v>17</v>
      </c>
      <c r="V341" s="16" t="s">
        <v>7183</v>
      </c>
      <c r="W341" s="16" t="s">
        <v>17</v>
      </c>
      <c r="X341" s="16" t="s">
        <v>1550</v>
      </c>
      <c r="Y341" s="16" t="s">
        <v>17</v>
      </c>
      <c r="Z341" s="16" t="s">
        <v>6926</v>
      </c>
    </row>
    <row r="342" spans="1:26" x14ac:dyDescent="0.3">
      <c r="A342" s="16">
        <v>341</v>
      </c>
      <c r="B342" s="16" t="s">
        <v>1584</v>
      </c>
      <c r="C342" s="17">
        <v>9780071377829</v>
      </c>
      <c r="D342" s="17">
        <v>9780071377829</v>
      </c>
      <c r="E342" s="16" t="s">
        <v>6920</v>
      </c>
      <c r="F342" s="16" t="s">
        <v>17</v>
      </c>
      <c r="G342" s="16" t="s">
        <v>17</v>
      </c>
      <c r="H342" s="16" t="s">
        <v>17</v>
      </c>
      <c r="I342" s="16" t="s">
        <v>17</v>
      </c>
      <c r="J342" s="16" t="s">
        <v>17</v>
      </c>
      <c r="K342" s="16" t="s">
        <v>1585</v>
      </c>
      <c r="L342" s="16" t="s">
        <v>388</v>
      </c>
      <c r="M342" s="16" t="s">
        <v>1584</v>
      </c>
      <c r="N342" s="16" t="s">
        <v>17</v>
      </c>
      <c r="O342" s="16" t="s">
        <v>6921</v>
      </c>
      <c r="P342" s="16" t="s">
        <v>17</v>
      </c>
      <c r="Q342" s="16" t="s">
        <v>6922</v>
      </c>
      <c r="R342" s="16" t="s">
        <v>6923</v>
      </c>
      <c r="S342" s="16" t="s">
        <v>17</v>
      </c>
      <c r="T342" s="16" t="s">
        <v>6920</v>
      </c>
      <c r="U342" s="16" t="s">
        <v>17</v>
      </c>
      <c r="V342" s="16" t="s">
        <v>7049</v>
      </c>
      <c r="W342" s="16" t="s">
        <v>17</v>
      </c>
      <c r="X342" s="16" t="s">
        <v>1584</v>
      </c>
      <c r="Y342" s="16" t="s">
        <v>17</v>
      </c>
      <c r="Z342" s="16" t="s">
        <v>6926</v>
      </c>
    </row>
    <row r="343" spans="1:26" x14ac:dyDescent="0.3">
      <c r="A343" s="16">
        <v>342</v>
      </c>
      <c r="B343" s="16" t="s">
        <v>8122</v>
      </c>
      <c r="C343" s="17">
        <v>9780071792387</v>
      </c>
      <c r="D343" s="17">
        <v>9780071792387</v>
      </c>
      <c r="E343" s="16" t="s">
        <v>6939</v>
      </c>
      <c r="F343" s="16" t="s">
        <v>17</v>
      </c>
      <c r="G343" s="16" t="s">
        <v>17</v>
      </c>
      <c r="H343" s="16" t="s">
        <v>17</v>
      </c>
      <c r="I343" s="16" t="s">
        <v>17</v>
      </c>
      <c r="J343" s="16" t="s">
        <v>17</v>
      </c>
      <c r="K343" s="16" t="s">
        <v>1209</v>
      </c>
      <c r="L343" s="16" t="s">
        <v>7373</v>
      </c>
      <c r="M343" s="16" t="s">
        <v>8122</v>
      </c>
      <c r="N343" s="16" t="s">
        <v>17</v>
      </c>
      <c r="O343" s="16" t="s">
        <v>6921</v>
      </c>
      <c r="P343" s="16" t="s">
        <v>17</v>
      </c>
      <c r="Q343" s="16" t="s">
        <v>6922</v>
      </c>
      <c r="R343" s="16" t="s">
        <v>6923</v>
      </c>
      <c r="S343" s="16" t="s">
        <v>17</v>
      </c>
      <c r="T343" s="16" t="s">
        <v>6939</v>
      </c>
      <c r="U343" s="16" t="s">
        <v>17</v>
      </c>
      <c r="V343" s="16" t="s">
        <v>6924</v>
      </c>
      <c r="W343" s="16" t="s">
        <v>17</v>
      </c>
      <c r="X343" s="16" t="s">
        <v>8122</v>
      </c>
      <c r="Y343" s="16" t="s">
        <v>17</v>
      </c>
      <c r="Z343" s="16" t="s">
        <v>6926</v>
      </c>
    </row>
    <row r="344" spans="1:26" x14ac:dyDescent="0.3">
      <c r="A344" s="16">
        <v>343</v>
      </c>
      <c r="B344" s="16" t="s">
        <v>7663</v>
      </c>
      <c r="C344" s="17">
        <v>9780071481205</v>
      </c>
      <c r="D344" s="17">
        <v>9780071481205</v>
      </c>
      <c r="E344" s="16" t="s">
        <v>6920</v>
      </c>
      <c r="F344" s="16" t="s">
        <v>17</v>
      </c>
      <c r="G344" s="16" t="s">
        <v>17</v>
      </c>
      <c r="H344" s="16" t="s">
        <v>17</v>
      </c>
      <c r="I344" s="16" t="s">
        <v>17</v>
      </c>
      <c r="J344" s="16" t="s">
        <v>17</v>
      </c>
      <c r="K344" s="16" t="s">
        <v>654</v>
      </c>
      <c r="L344" s="16" t="s">
        <v>7664</v>
      </c>
      <c r="M344" s="16" t="s">
        <v>7663</v>
      </c>
      <c r="N344" s="16" t="s">
        <v>17</v>
      </c>
      <c r="O344" s="16" t="s">
        <v>6921</v>
      </c>
      <c r="P344" s="16" t="s">
        <v>17</v>
      </c>
      <c r="Q344" s="16" t="s">
        <v>6922</v>
      </c>
      <c r="R344" s="16" t="s">
        <v>6923</v>
      </c>
      <c r="S344" s="16" t="s">
        <v>17</v>
      </c>
      <c r="T344" s="16" t="s">
        <v>6920</v>
      </c>
      <c r="U344" s="16" t="s">
        <v>17</v>
      </c>
      <c r="V344" s="16" t="s">
        <v>6944</v>
      </c>
      <c r="W344" s="16" t="s">
        <v>17</v>
      </c>
      <c r="X344" s="16" t="s">
        <v>7663</v>
      </c>
      <c r="Y344" s="16" t="s">
        <v>17</v>
      </c>
      <c r="Z344" s="16" t="s">
        <v>6926</v>
      </c>
    </row>
    <row r="345" spans="1:26" x14ac:dyDescent="0.3">
      <c r="A345" s="16">
        <v>344</v>
      </c>
      <c r="B345" s="16" t="s">
        <v>7733</v>
      </c>
      <c r="C345" s="17">
        <v>9780071789714</v>
      </c>
      <c r="D345" s="17">
        <v>9780071789714</v>
      </c>
      <c r="E345" s="16" t="s">
        <v>7734</v>
      </c>
      <c r="F345" s="16" t="s">
        <v>17</v>
      </c>
      <c r="G345" s="16" t="s">
        <v>17</v>
      </c>
      <c r="H345" s="16" t="s">
        <v>17</v>
      </c>
      <c r="I345" s="16" t="s">
        <v>17</v>
      </c>
      <c r="J345" s="16" t="s">
        <v>17</v>
      </c>
      <c r="K345" s="16" t="s">
        <v>723</v>
      </c>
      <c r="L345" s="16" t="s">
        <v>7373</v>
      </c>
      <c r="M345" s="16" t="s">
        <v>7733</v>
      </c>
      <c r="N345" s="16" t="s">
        <v>17</v>
      </c>
      <c r="O345" s="16" t="s">
        <v>6921</v>
      </c>
      <c r="P345" s="16" t="s">
        <v>17</v>
      </c>
      <c r="Q345" s="16" t="s">
        <v>6922</v>
      </c>
      <c r="R345" s="16" t="s">
        <v>6923</v>
      </c>
      <c r="S345" s="16" t="s">
        <v>17</v>
      </c>
      <c r="T345" s="16" t="s">
        <v>7734</v>
      </c>
      <c r="U345" s="16" t="s">
        <v>17</v>
      </c>
      <c r="V345" s="16" t="s">
        <v>6924</v>
      </c>
      <c r="W345" s="16" t="s">
        <v>17</v>
      </c>
      <c r="X345" s="16" t="s">
        <v>7733</v>
      </c>
      <c r="Y345" s="16" t="s">
        <v>17</v>
      </c>
      <c r="Z345" s="16" t="s">
        <v>6926</v>
      </c>
    </row>
    <row r="346" spans="1:26" x14ac:dyDescent="0.3">
      <c r="A346" s="16">
        <v>345</v>
      </c>
      <c r="B346" s="16" t="s">
        <v>8259</v>
      </c>
      <c r="C346" s="17">
        <v>9780071746106</v>
      </c>
      <c r="D346" s="17">
        <v>9780071746106</v>
      </c>
      <c r="E346" s="16" t="s">
        <v>6920</v>
      </c>
      <c r="F346" s="16" t="s">
        <v>17</v>
      </c>
      <c r="G346" s="16" t="s">
        <v>17</v>
      </c>
      <c r="H346" s="16" t="s">
        <v>17</v>
      </c>
      <c r="I346" s="16" t="s">
        <v>17</v>
      </c>
      <c r="J346" s="16" t="s">
        <v>17</v>
      </c>
      <c r="K346" s="16" t="s">
        <v>1331</v>
      </c>
      <c r="L346" s="16" t="s">
        <v>1330</v>
      </c>
      <c r="M346" s="16" t="s">
        <v>8259</v>
      </c>
      <c r="N346" s="16" t="s">
        <v>17</v>
      </c>
      <c r="O346" s="16" t="s">
        <v>6921</v>
      </c>
      <c r="P346" s="16" t="s">
        <v>17</v>
      </c>
      <c r="Q346" s="16" t="s">
        <v>6922</v>
      </c>
      <c r="R346" s="16" t="s">
        <v>6923</v>
      </c>
      <c r="S346" s="16" t="s">
        <v>17</v>
      </c>
      <c r="T346" s="16" t="s">
        <v>6920</v>
      </c>
      <c r="U346" s="16" t="s">
        <v>17</v>
      </c>
      <c r="V346" s="16" t="s">
        <v>6929</v>
      </c>
      <c r="W346" s="16" t="s">
        <v>17</v>
      </c>
      <c r="X346" s="16" t="s">
        <v>8259</v>
      </c>
      <c r="Y346" s="16" t="s">
        <v>17</v>
      </c>
      <c r="Z346" s="16" t="s">
        <v>6926</v>
      </c>
    </row>
    <row r="347" spans="1:26" x14ac:dyDescent="0.3">
      <c r="A347" s="16">
        <v>346</v>
      </c>
      <c r="B347" s="16" t="s">
        <v>7123</v>
      </c>
      <c r="C347" s="17">
        <v>9780071843157</v>
      </c>
      <c r="D347" s="17">
        <v>9780071843157</v>
      </c>
      <c r="E347" s="16" t="s">
        <v>7124</v>
      </c>
      <c r="F347" s="16" t="s">
        <v>17</v>
      </c>
      <c r="G347" s="16" t="s">
        <v>17</v>
      </c>
      <c r="H347" s="16" t="s">
        <v>17</v>
      </c>
      <c r="I347" s="16" t="s">
        <v>17</v>
      </c>
      <c r="J347" s="16" t="s">
        <v>17</v>
      </c>
      <c r="K347" s="16" t="s">
        <v>185</v>
      </c>
      <c r="L347" s="16" t="s">
        <v>7125</v>
      </c>
      <c r="M347" s="16" t="s">
        <v>7123</v>
      </c>
      <c r="N347" s="16" t="s">
        <v>17</v>
      </c>
      <c r="O347" s="16" t="s">
        <v>6921</v>
      </c>
      <c r="P347" s="16" t="s">
        <v>17</v>
      </c>
      <c r="Q347" s="16" t="s">
        <v>6922</v>
      </c>
      <c r="R347" s="16" t="s">
        <v>6923</v>
      </c>
      <c r="S347" s="16" t="s">
        <v>17</v>
      </c>
      <c r="T347" s="16" t="s">
        <v>7124</v>
      </c>
      <c r="U347" s="16" t="s">
        <v>17</v>
      </c>
      <c r="V347" s="16" t="s">
        <v>6929</v>
      </c>
      <c r="W347" s="16" t="s">
        <v>17</v>
      </c>
      <c r="X347" s="16" t="s">
        <v>7123</v>
      </c>
      <c r="Y347" s="16" t="s">
        <v>17</v>
      </c>
      <c r="Z347" s="16" t="s">
        <v>6926</v>
      </c>
    </row>
    <row r="348" spans="1:26" x14ac:dyDescent="0.3">
      <c r="A348" s="16">
        <v>347</v>
      </c>
      <c r="B348" s="16" t="s">
        <v>6934</v>
      </c>
      <c r="C348" s="17">
        <v>9780071621830</v>
      </c>
      <c r="D348" s="17">
        <v>9780071621830</v>
      </c>
      <c r="E348" s="16" t="s">
        <v>6920</v>
      </c>
      <c r="F348" s="16" t="s">
        <v>17</v>
      </c>
      <c r="G348" s="16" t="s">
        <v>17</v>
      </c>
      <c r="H348" s="16" t="s">
        <v>17</v>
      </c>
      <c r="I348" s="16" t="s">
        <v>17</v>
      </c>
      <c r="J348" s="16" t="s">
        <v>17</v>
      </c>
      <c r="K348" s="16" t="s">
        <v>26</v>
      </c>
      <c r="L348" s="16" t="s">
        <v>24</v>
      </c>
      <c r="M348" s="16" t="s">
        <v>6934</v>
      </c>
      <c r="N348" s="16" t="s">
        <v>17</v>
      </c>
      <c r="O348" s="16" t="s">
        <v>6921</v>
      </c>
      <c r="P348" s="16" t="s">
        <v>17</v>
      </c>
      <c r="Q348" s="16" t="s">
        <v>6922</v>
      </c>
      <c r="R348" s="16" t="s">
        <v>6923</v>
      </c>
      <c r="S348" s="16" t="s">
        <v>17</v>
      </c>
      <c r="T348" s="16" t="s">
        <v>6920</v>
      </c>
      <c r="U348" s="16" t="s">
        <v>17</v>
      </c>
      <c r="V348" s="16" t="s">
        <v>6929</v>
      </c>
      <c r="W348" s="16" t="s">
        <v>17</v>
      </c>
      <c r="X348" s="16" t="s">
        <v>6934</v>
      </c>
      <c r="Y348" s="16" t="s">
        <v>17</v>
      </c>
      <c r="Z348" s="16" t="s">
        <v>6926</v>
      </c>
    </row>
    <row r="349" spans="1:26" x14ac:dyDescent="0.3">
      <c r="A349" s="16">
        <v>348</v>
      </c>
      <c r="B349" s="16" t="s">
        <v>7514</v>
      </c>
      <c r="C349" s="17">
        <v>9780071460453</v>
      </c>
      <c r="D349" s="17">
        <v>9780071460453</v>
      </c>
      <c r="E349" s="16" t="s">
        <v>6920</v>
      </c>
      <c r="F349" s="16" t="s">
        <v>17</v>
      </c>
      <c r="G349" s="16" t="s">
        <v>17</v>
      </c>
      <c r="H349" s="16" t="s">
        <v>17</v>
      </c>
      <c r="I349" s="16" t="s">
        <v>17</v>
      </c>
      <c r="J349" s="16" t="s">
        <v>17</v>
      </c>
      <c r="K349" s="16" t="s">
        <v>517</v>
      </c>
      <c r="L349" s="16" t="s">
        <v>17</v>
      </c>
      <c r="M349" s="16" t="s">
        <v>7514</v>
      </c>
      <c r="N349" s="16" t="s">
        <v>17</v>
      </c>
      <c r="O349" s="16" t="s">
        <v>6921</v>
      </c>
      <c r="P349" s="16" t="s">
        <v>17</v>
      </c>
      <c r="Q349" s="16" t="s">
        <v>6922</v>
      </c>
      <c r="R349" s="16" t="s">
        <v>6923</v>
      </c>
      <c r="S349" s="16" t="s">
        <v>17</v>
      </c>
      <c r="T349" s="16" t="s">
        <v>6920</v>
      </c>
      <c r="U349" s="16" t="s">
        <v>17</v>
      </c>
      <c r="V349" s="16" t="s">
        <v>6924</v>
      </c>
      <c r="W349" s="16" t="s">
        <v>7515</v>
      </c>
      <c r="X349" s="16" t="s">
        <v>7514</v>
      </c>
      <c r="Y349" s="16" t="s">
        <v>17</v>
      </c>
      <c r="Z349" s="16" t="s">
        <v>6926</v>
      </c>
    </row>
    <row r="350" spans="1:26" x14ac:dyDescent="0.3">
      <c r="A350" s="16">
        <v>349</v>
      </c>
      <c r="B350" s="16" t="s">
        <v>8014</v>
      </c>
      <c r="C350" s="17">
        <v>9780071792318</v>
      </c>
      <c r="D350" s="17">
        <v>9780071792318</v>
      </c>
      <c r="E350" s="16" t="s">
        <v>6942</v>
      </c>
      <c r="F350" s="16" t="s">
        <v>17</v>
      </c>
      <c r="G350" s="16" t="s">
        <v>17</v>
      </c>
      <c r="H350" s="16" t="s">
        <v>17</v>
      </c>
      <c r="I350" s="16" t="s">
        <v>17</v>
      </c>
      <c r="J350" s="16" t="s">
        <v>17</v>
      </c>
      <c r="K350" s="16" t="s">
        <v>1074</v>
      </c>
      <c r="L350" s="16" t="s">
        <v>8015</v>
      </c>
      <c r="M350" s="16" t="s">
        <v>8014</v>
      </c>
      <c r="N350" s="16" t="s">
        <v>17</v>
      </c>
      <c r="O350" s="16" t="s">
        <v>6921</v>
      </c>
      <c r="P350" s="16" t="s">
        <v>17</v>
      </c>
      <c r="Q350" s="16" t="s">
        <v>6922</v>
      </c>
      <c r="R350" s="16" t="s">
        <v>6923</v>
      </c>
      <c r="S350" s="16" t="s">
        <v>17</v>
      </c>
      <c r="T350" s="16" t="s">
        <v>6942</v>
      </c>
      <c r="U350" s="16" t="s">
        <v>17</v>
      </c>
      <c r="V350" s="16" t="s">
        <v>6929</v>
      </c>
      <c r="W350" s="16" t="s">
        <v>17</v>
      </c>
      <c r="X350" s="16" t="s">
        <v>8014</v>
      </c>
      <c r="Y350" s="16" t="s">
        <v>17</v>
      </c>
      <c r="Z350" s="16" t="s">
        <v>6926</v>
      </c>
    </row>
    <row r="351" spans="1:26" x14ac:dyDescent="0.3">
      <c r="A351" s="16">
        <v>350</v>
      </c>
      <c r="B351" s="16" t="s">
        <v>7774</v>
      </c>
      <c r="C351" s="17">
        <v>9781264268948</v>
      </c>
      <c r="D351" s="17">
        <v>9781264268948</v>
      </c>
      <c r="E351" s="16" t="s">
        <v>7775</v>
      </c>
      <c r="F351" s="16" t="s">
        <v>17</v>
      </c>
      <c r="G351" s="16" t="s">
        <v>17</v>
      </c>
      <c r="H351" s="16" t="s">
        <v>17</v>
      </c>
      <c r="I351" s="16" t="s">
        <v>17</v>
      </c>
      <c r="J351" s="16" t="s">
        <v>17</v>
      </c>
      <c r="K351" s="16" t="s">
        <v>753</v>
      </c>
      <c r="L351" s="16" t="s">
        <v>752</v>
      </c>
      <c r="M351" s="16" t="s">
        <v>7774</v>
      </c>
      <c r="N351" s="16" t="s">
        <v>17</v>
      </c>
      <c r="O351" s="16" t="s">
        <v>6921</v>
      </c>
      <c r="P351" s="16" t="s">
        <v>17</v>
      </c>
      <c r="Q351" s="16" t="s">
        <v>6922</v>
      </c>
      <c r="R351" s="16" t="s">
        <v>6923</v>
      </c>
      <c r="S351" s="16" t="s">
        <v>17</v>
      </c>
      <c r="T351" s="16" t="s">
        <v>7775</v>
      </c>
      <c r="U351" s="16" t="s">
        <v>17</v>
      </c>
      <c r="V351" s="16" t="s">
        <v>7072</v>
      </c>
      <c r="W351" s="16" t="s">
        <v>17</v>
      </c>
      <c r="X351" s="16" t="s">
        <v>7774</v>
      </c>
      <c r="Y351" s="16" t="s">
        <v>17</v>
      </c>
      <c r="Z351" s="16" t="s">
        <v>6926</v>
      </c>
    </row>
    <row r="352" spans="1:26" x14ac:dyDescent="0.3">
      <c r="A352" s="16">
        <v>351</v>
      </c>
      <c r="B352" s="16" t="s">
        <v>1433</v>
      </c>
      <c r="C352" s="17">
        <v>9780071625012</v>
      </c>
      <c r="D352" s="17">
        <v>9780071625012</v>
      </c>
      <c r="E352" s="16" t="s">
        <v>6920</v>
      </c>
      <c r="F352" s="16" t="s">
        <v>17</v>
      </c>
      <c r="G352" s="16" t="s">
        <v>17</v>
      </c>
      <c r="H352" s="16" t="s">
        <v>17</v>
      </c>
      <c r="I352" s="16" t="s">
        <v>17</v>
      </c>
      <c r="J352" s="16" t="s">
        <v>17</v>
      </c>
      <c r="K352" s="16" t="s">
        <v>1435</v>
      </c>
      <c r="L352" s="16" t="s">
        <v>1434</v>
      </c>
      <c r="M352" s="16" t="s">
        <v>1433</v>
      </c>
      <c r="N352" s="16" t="s">
        <v>17</v>
      </c>
      <c r="O352" s="16" t="s">
        <v>6921</v>
      </c>
      <c r="P352" s="16" t="s">
        <v>17</v>
      </c>
      <c r="Q352" s="16" t="s">
        <v>6922</v>
      </c>
      <c r="R352" s="16" t="s">
        <v>6923</v>
      </c>
      <c r="S352" s="16" t="s">
        <v>17</v>
      </c>
      <c r="T352" s="16" t="s">
        <v>6920</v>
      </c>
      <c r="U352" s="16" t="s">
        <v>17</v>
      </c>
      <c r="V352" s="16" t="s">
        <v>7049</v>
      </c>
      <c r="W352" s="16" t="s">
        <v>17</v>
      </c>
      <c r="X352" s="16" t="s">
        <v>1433</v>
      </c>
      <c r="Y352" s="16" t="s">
        <v>17</v>
      </c>
      <c r="Z352" s="16" t="s">
        <v>6926</v>
      </c>
    </row>
    <row r="353" spans="1:26" x14ac:dyDescent="0.3">
      <c r="A353" s="16">
        <v>352</v>
      </c>
      <c r="B353" s="16" t="s">
        <v>7449</v>
      </c>
      <c r="C353" s="17">
        <v>9780071599214</v>
      </c>
      <c r="D353" s="17">
        <v>9780071599214</v>
      </c>
      <c r="E353" s="16" t="s">
        <v>6920</v>
      </c>
      <c r="F353" s="16" t="s">
        <v>17</v>
      </c>
      <c r="G353" s="16" t="s">
        <v>17</v>
      </c>
      <c r="H353" s="16" t="s">
        <v>17</v>
      </c>
      <c r="I353" s="16" t="s">
        <v>17</v>
      </c>
      <c r="J353" s="16" t="s">
        <v>17</v>
      </c>
      <c r="K353" s="16" t="s">
        <v>460</v>
      </c>
      <c r="L353" s="16" t="s">
        <v>17</v>
      </c>
      <c r="M353" s="16" t="s">
        <v>7449</v>
      </c>
      <c r="N353" s="16" t="s">
        <v>17</v>
      </c>
      <c r="O353" s="16" t="s">
        <v>6921</v>
      </c>
      <c r="P353" s="16" t="s">
        <v>17</v>
      </c>
      <c r="Q353" s="16" t="s">
        <v>6922</v>
      </c>
      <c r="R353" s="16" t="s">
        <v>6923</v>
      </c>
      <c r="S353" s="16" t="s">
        <v>17</v>
      </c>
      <c r="T353" s="16" t="s">
        <v>6920</v>
      </c>
      <c r="U353" s="16" t="s">
        <v>17</v>
      </c>
      <c r="V353" s="16" t="s">
        <v>6929</v>
      </c>
      <c r="W353" s="16" t="s">
        <v>459</v>
      </c>
      <c r="X353" s="16" t="s">
        <v>7449</v>
      </c>
      <c r="Y353" s="16" t="s">
        <v>17</v>
      </c>
      <c r="Z353" s="16" t="s">
        <v>6926</v>
      </c>
    </row>
    <row r="354" spans="1:26" x14ac:dyDescent="0.3">
      <c r="A354" s="16">
        <v>353</v>
      </c>
      <c r="B354" s="16" t="s">
        <v>6945</v>
      </c>
      <c r="C354" s="17">
        <v>9780071546010</v>
      </c>
      <c r="D354" s="17">
        <v>9780071546010</v>
      </c>
      <c r="E354" s="16" t="s">
        <v>6920</v>
      </c>
      <c r="F354" s="16" t="s">
        <v>17</v>
      </c>
      <c r="G354" s="16" t="s">
        <v>17</v>
      </c>
      <c r="H354" s="16" t="s">
        <v>17</v>
      </c>
      <c r="I354" s="16" t="s">
        <v>17</v>
      </c>
      <c r="J354" s="16" t="s">
        <v>17</v>
      </c>
      <c r="K354" s="16" t="s">
        <v>34</v>
      </c>
      <c r="L354" s="16" t="s">
        <v>33</v>
      </c>
      <c r="M354" s="16" t="s">
        <v>6945</v>
      </c>
      <c r="N354" s="16" t="s">
        <v>17</v>
      </c>
      <c r="O354" s="16" t="s">
        <v>6921</v>
      </c>
      <c r="P354" s="16" t="s">
        <v>17</v>
      </c>
      <c r="Q354" s="16" t="s">
        <v>6922</v>
      </c>
      <c r="R354" s="16" t="s">
        <v>6923</v>
      </c>
      <c r="S354" s="16" t="s">
        <v>17</v>
      </c>
      <c r="T354" s="16" t="s">
        <v>6920</v>
      </c>
      <c r="U354" s="16" t="s">
        <v>17</v>
      </c>
      <c r="V354" s="16" t="s">
        <v>6929</v>
      </c>
      <c r="W354" s="16" t="s">
        <v>17</v>
      </c>
      <c r="X354" s="16" t="s">
        <v>6945</v>
      </c>
      <c r="Y354" s="16" t="s">
        <v>17</v>
      </c>
      <c r="Z354" s="16" t="s">
        <v>6926</v>
      </c>
    </row>
    <row r="355" spans="1:26" x14ac:dyDescent="0.3">
      <c r="A355" s="16">
        <v>354</v>
      </c>
      <c r="B355" s="16" t="s">
        <v>8322</v>
      </c>
      <c r="C355" s="17">
        <v>9781259642838</v>
      </c>
      <c r="D355" s="17">
        <v>9781259642838</v>
      </c>
      <c r="E355" s="16" t="s">
        <v>7353</v>
      </c>
      <c r="F355" s="16" t="s">
        <v>17</v>
      </c>
      <c r="G355" s="16" t="s">
        <v>17</v>
      </c>
      <c r="H355" s="16" t="s">
        <v>17</v>
      </c>
      <c r="I355" s="16" t="s">
        <v>17</v>
      </c>
      <c r="J355" s="16" t="s">
        <v>17</v>
      </c>
      <c r="K355" s="16" t="s">
        <v>1377</v>
      </c>
      <c r="L355" s="16" t="s">
        <v>1376</v>
      </c>
      <c r="M355" s="16" t="s">
        <v>8322</v>
      </c>
      <c r="N355" s="16" t="s">
        <v>17</v>
      </c>
      <c r="O355" s="16" t="s">
        <v>6921</v>
      </c>
      <c r="P355" s="16" t="s">
        <v>17</v>
      </c>
      <c r="Q355" s="16" t="s">
        <v>6922</v>
      </c>
      <c r="R355" s="16" t="s">
        <v>6923</v>
      </c>
      <c r="S355" s="16" t="s">
        <v>17</v>
      </c>
      <c r="T355" s="16" t="s">
        <v>7353</v>
      </c>
      <c r="U355" s="16" t="s">
        <v>17</v>
      </c>
      <c r="V355" s="16" t="s">
        <v>6929</v>
      </c>
      <c r="W355" s="16" t="s">
        <v>17</v>
      </c>
      <c r="X355" s="16" t="s">
        <v>8322</v>
      </c>
      <c r="Y355" s="16" t="s">
        <v>17</v>
      </c>
      <c r="Z355" s="16" t="s">
        <v>6926</v>
      </c>
    </row>
    <row r="356" spans="1:26" x14ac:dyDescent="0.3">
      <c r="A356" s="16">
        <v>355</v>
      </c>
      <c r="B356" s="16" t="s">
        <v>7437</v>
      </c>
      <c r="C356" s="17">
        <v>9780071495943</v>
      </c>
      <c r="D356" s="17">
        <v>9780071495943</v>
      </c>
      <c r="E356" s="16" t="s">
        <v>6920</v>
      </c>
      <c r="F356" s="16" t="s">
        <v>17</v>
      </c>
      <c r="G356" s="16" t="s">
        <v>17</v>
      </c>
      <c r="H356" s="16" t="s">
        <v>17</v>
      </c>
      <c r="I356" s="16" t="s">
        <v>17</v>
      </c>
      <c r="J356" s="16" t="s">
        <v>17</v>
      </c>
      <c r="K356" s="16" t="s">
        <v>443</v>
      </c>
      <c r="L356" s="16" t="s">
        <v>17</v>
      </c>
      <c r="M356" s="16" t="s">
        <v>7437</v>
      </c>
      <c r="N356" s="16" t="s">
        <v>17</v>
      </c>
      <c r="O356" s="16" t="s">
        <v>6921</v>
      </c>
      <c r="P356" s="16" t="s">
        <v>17</v>
      </c>
      <c r="Q356" s="16" t="s">
        <v>6922</v>
      </c>
      <c r="R356" s="16" t="s">
        <v>6923</v>
      </c>
      <c r="S356" s="16" t="s">
        <v>17</v>
      </c>
      <c r="T356" s="16" t="s">
        <v>6920</v>
      </c>
      <c r="U356" s="16" t="s">
        <v>17</v>
      </c>
      <c r="V356" s="16" t="s">
        <v>6929</v>
      </c>
      <c r="W356" s="16" t="s">
        <v>7438</v>
      </c>
      <c r="X356" s="16" t="s">
        <v>7437</v>
      </c>
      <c r="Y356" s="16" t="s">
        <v>17</v>
      </c>
      <c r="Z356" s="16" t="s">
        <v>6926</v>
      </c>
    </row>
    <row r="357" spans="1:26" x14ac:dyDescent="0.3">
      <c r="A357" s="16">
        <v>356</v>
      </c>
      <c r="B357" s="16" t="s">
        <v>7742</v>
      </c>
      <c r="C357" s="17">
        <v>9780071608800</v>
      </c>
      <c r="D357" s="17">
        <v>9780071608800</v>
      </c>
      <c r="E357" s="16" t="s">
        <v>6920</v>
      </c>
      <c r="F357" s="16" t="s">
        <v>17</v>
      </c>
      <c r="G357" s="16" t="s">
        <v>17</v>
      </c>
      <c r="H357" s="16" t="s">
        <v>17</v>
      </c>
      <c r="I357" s="16" t="s">
        <v>17</v>
      </c>
      <c r="J357" s="16" t="s">
        <v>17</v>
      </c>
      <c r="K357" s="16" t="s">
        <v>730</v>
      </c>
      <c r="L357" s="16" t="s">
        <v>729</v>
      </c>
      <c r="M357" s="16" t="s">
        <v>7742</v>
      </c>
      <c r="N357" s="16" t="s">
        <v>17</v>
      </c>
      <c r="O357" s="16" t="s">
        <v>6921</v>
      </c>
      <c r="P357" s="16" t="s">
        <v>17</v>
      </c>
      <c r="Q357" s="16" t="s">
        <v>6922</v>
      </c>
      <c r="R357" s="16" t="s">
        <v>6923</v>
      </c>
      <c r="S357" s="16" t="s">
        <v>17</v>
      </c>
      <c r="T357" s="16" t="s">
        <v>6920</v>
      </c>
      <c r="U357" s="16" t="s">
        <v>17</v>
      </c>
      <c r="V357" s="16" t="s">
        <v>6929</v>
      </c>
      <c r="W357" s="16" t="s">
        <v>17</v>
      </c>
      <c r="X357" s="16" t="s">
        <v>7742</v>
      </c>
      <c r="Y357" s="16" t="s">
        <v>17</v>
      </c>
      <c r="Z357" s="16" t="s">
        <v>6926</v>
      </c>
    </row>
    <row r="358" spans="1:26" x14ac:dyDescent="0.3">
      <c r="A358" s="16">
        <v>357</v>
      </c>
      <c r="B358" s="16" t="s">
        <v>7651</v>
      </c>
      <c r="C358" s="17">
        <v>9780071622837</v>
      </c>
      <c r="D358" s="17">
        <v>9780071622837</v>
      </c>
      <c r="E358" s="16" t="s">
        <v>7299</v>
      </c>
      <c r="F358" s="16" t="s">
        <v>17</v>
      </c>
      <c r="G358" s="16" t="s">
        <v>17</v>
      </c>
      <c r="H358" s="16" t="s">
        <v>17</v>
      </c>
      <c r="I358" s="16" t="s">
        <v>17</v>
      </c>
      <c r="J358" s="16" t="s">
        <v>17</v>
      </c>
      <c r="K358" s="16" t="s">
        <v>640</v>
      </c>
      <c r="L358" s="16" t="s">
        <v>639</v>
      </c>
      <c r="M358" s="16" t="s">
        <v>7651</v>
      </c>
      <c r="N358" s="16" t="s">
        <v>17</v>
      </c>
      <c r="O358" s="16" t="s">
        <v>6921</v>
      </c>
      <c r="P358" s="16" t="s">
        <v>17</v>
      </c>
      <c r="Q358" s="16" t="s">
        <v>6922</v>
      </c>
      <c r="R358" s="16" t="s">
        <v>6923</v>
      </c>
      <c r="S358" s="16" t="s">
        <v>17</v>
      </c>
      <c r="T358" s="16" t="s">
        <v>7299</v>
      </c>
      <c r="U358" s="16" t="s">
        <v>17</v>
      </c>
      <c r="V358" s="16" t="s">
        <v>6929</v>
      </c>
      <c r="W358" s="16" t="s">
        <v>17</v>
      </c>
      <c r="X358" s="16" t="s">
        <v>7651</v>
      </c>
      <c r="Y358" s="16" t="s">
        <v>17</v>
      </c>
      <c r="Z358" s="16" t="s">
        <v>6926</v>
      </c>
    </row>
    <row r="359" spans="1:26" x14ac:dyDescent="0.3">
      <c r="A359" s="16">
        <v>358</v>
      </c>
      <c r="B359" s="16" t="s">
        <v>7873</v>
      </c>
      <c r="C359" s="17">
        <v>9781259063732</v>
      </c>
      <c r="D359" s="17">
        <v>9781259063732</v>
      </c>
      <c r="E359" s="16" t="s">
        <v>7178</v>
      </c>
      <c r="F359" s="16" t="s">
        <v>17</v>
      </c>
      <c r="G359" s="16" t="s">
        <v>17</v>
      </c>
      <c r="H359" s="16" t="s">
        <v>17</v>
      </c>
      <c r="I359" s="16" t="s">
        <v>17</v>
      </c>
      <c r="J359" s="16" t="s">
        <v>17</v>
      </c>
      <c r="K359" s="16" t="s">
        <v>871</v>
      </c>
      <c r="L359" s="16" t="s">
        <v>7874</v>
      </c>
      <c r="M359" s="16" t="s">
        <v>7873</v>
      </c>
      <c r="N359" s="16" t="s">
        <v>17</v>
      </c>
      <c r="O359" s="16" t="s">
        <v>6921</v>
      </c>
      <c r="P359" s="16" t="s">
        <v>17</v>
      </c>
      <c r="Q359" s="16" t="s">
        <v>6922</v>
      </c>
      <c r="R359" s="16" t="s">
        <v>6923</v>
      </c>
      <c r="S359" s="16" t="s">
        <v>17</v>
      </c>
      <c r="T359" s="16" t="s">
        <v>7178</v>
      </c>
      <c r="U359" s="16" t="s">
        <v>17</v>
      </c>
      <c r="V359" s="16" t="s">
        <v>6929</v>
      </c>
      <c r="W359" s="16" t="s">
        <v>17</v>
      </c>
      <c r="X359" s="16" t="s">
        <v>7873</v>
      </c>
      <c r="Y359" s="16" t="s">
        <v>17</v>
      </c>
      <c r="Z359" s="16" t="s">
        <v>6926</v>
      </c>
    </row>
    <row r="360" spans="1:26" x14ac:dyDescent="0.3">
      <c r="A360" s="16">
        <v>359</v>
      </c>
      <c r="B360" s="16" t="s">
        <v>7952</v>
      </c>
      <c r="C360" s="17">
        <v>9780071609098</v>
      </c>
      <c r="D360" s="17">
        <v>9780071609098</v>
      </c>
      <c r="E360" s="16" t="s">
        <v>6920</v>
      </c>
      <c r="F360" s="16" t="s">
        <v>17</v>
      </c>
      <c r="G360" s="16" t="s">
        <v>17</v>
      </c>
      <c r="H360" s="16" t="s">
        <v>17</v>
      </c>
      <c r="I360" s="16" t="s">
        <v>17</v>
      </c>
      <c r="J360" s="16" t="s">
        <v>17</v>
      </c>
      <c r="K360" s="16" t="s">
        <v>978</v>
      </c>
      <c r="L360" s="16" t="s">
        <v>977</v>
      </c>
      <c r="M360" s="16" t="s">
        <v>7952</v>
      </c>
      <c r="N360" s="16" t="s">
        <v>17</v>
      </c>
      <c r="O360" s="16" t="s">
        <v>6921</v>
      </c>
      <c r="P360" s="16" t="s">
        <v>17</v>
      </c>
      <c r="Q360" s="16" t="s">
        <v>6922</v>
      </c>
      <c r="R360" s="16" t="s">
        <v>6923</v>
      </c>
      <c r="S360" s="16" t="s">
        <v>17</v>
      </c>
      <c r="T360" s="16" t="s">
        <v>6920</v>
      </c>
      <c r="U360" s="16" t="s">
        <v>17</v>
      </c>
      <c r="V360" s="16" t="s">
        <v>6929</v>
      </c>
      <c r="W360" s="16" t="s">
        <v>17</v>
      </c>
      <c r="X360" s="16" t="s">
        <v>7952</v>
      </c>
      <c r="Y360" s="16" t="s">
        <v>17</v>
      </c>
      <c r="Z360" s="16" t="s">
        <v>6926</v>
      </c>
    </row>
    <row r="361" spans="1:26" x14ac:dyDescent="0.3">
      <c r="A361" s="16">
        <v>360</v>
      </c>
      <c r="B361" s="16" t="s">
        <v>1504</v>
      </c>
      <c r="C361" s="17">
        <v>9780071638326</v>
      </c>
      <c r="D361" s="17">
        <v>9780071638326</v>
      </c>
      <c r="E361" s="16" t="s">
        <v>6920</v>
      </c>
      <c r="F361" s="16" t="s">
        <v>17</v>
      </c>
      <c r="G361" s="16" t="s">
        <v>17</v>
      </c>
      <c r="H361" s="16" t="s">
        <v>17</v>
      </c>
      <c r="I361" s="16" t="s">
        <v>17</v>
      </c>
      <c r="J361" s="16" t="s">
        <v>17</v>
      </c>
      <c r="K361" s="16" t="s">
        <v>1505</v>
      </c>
      <c r="L361" s="16" t="s">
        <v>33</v>
      </c>
      <c r="M361" s="16" t="s">
        <v>1504</v>
      </c>
      <c r="N361" s="16" t="s">
        <v>17</v>
      </c>
      <c r="O361" s="16" t="s">
        <v>6921</v>
      </c>
      <c r="P361" s="16" t="s">
        <v>17</v>
      </c>
      <c r="Q361" s="16" t="s">
        <v>6922</v>
      </c>
      <c r="R361" s="16" t="s">
        <v>6923</v>
      </c>
      <c r="S361" s="16" t="s">
        <v>17</v>
      </c>
      <c r="T361" s="16" t="s">
        <v>6920</v>
      </c>
      <c r="U361" s="16" t="s">
        <v>17</v>
      </c>
      <c r="V361" s="16" t="s">
        <v>7049</v>
      </c>
      <c r="W361" s="16" t="s">
        <v>17</v>
      </c>
      <c r="X361" s="16" t="s">
        <v>1504</v>
      </c>
      <c r="Y361" s="16" t="s">
        <v>17</v>
      </c>
      <c r="Z361" s="16" t="s">
        <v>6926</v>
      </c>
    </row>
    <row r="362" spans="1:26" x14ac:dyDescent="0.3">
      <c r="A362" s="16">
        <v>361</v>
      </c>
      <c r="B362" s="16" t="s">
        <v>7641</v>
      </c>
      <c r="C362" s="17">
        <v>9780071492737</v>
      </c>
      <c r="D362" s="17">
        <v>9780071492737</v>
      </c>
      <c r="E362" s="16" t="s">
        <v>6920</v>
      </c>
      <c r="F362" s="16" t="s">
        <v>17</v>
      </c>
      <c r="G362" s="16" t="s">
        <v>17</v>
      </c>
      <c r="H362" s="16" t="s">
        <v>17</v>
      </c>
      <c r="I362" s="16" t="s">
        <v>17</v>
      </c>
      <c r="J362" s="16" t="s">
        <v>17</v>
      </c>
      <c r="K362" s="16" t="s">
        <v>634</v>
      </c>
      <c r="L362" s="16" t="s">
        <v>17</v>
      </c>
      <c r="M362" s="16" t="s">
        <v>7641</v>
      </c>
      <c r="N362" s="16" t="s">
        <v>17</v>
      </c>
      <c r="O362" s="16" t="s">
        <v>6921</v>
      </c>
      <c r="P362" s="16" t="s">
        <v>17</v>
      </c>
      <c r="Q362" s="16" t="s">
        <v>6922</v>
      </c>
      <c r="R362" s="16" t="s">
        <v>6923</v>
      </c>
      <c r="S362" s="16" t="s">
        <v>17</v>
      </c>
      <c r="T362" s="16" t="s">
        <v>6920</v>
      </c>
      <c r="U362" s="16" t="s">
        <v>17</v>
      </c>
      <c r="V362" s="16" t="s">
        <v>6929</v>
      </c>
      <c r="W362" s="16" t="s">
        <v>633</v>
      </c>
      <c r="X362" s="16" t="s">
        <v>7641</v>
      </c>
      <c r="Y362" s="16" t="s">
        <v>17</v>
      </c>
      <c r="Z362" s="16" t="s">
        <v>6926</v>
      </c>
    </row>
    <row r="363" spans="1:26" x14ac:dyDescent="0.3">
      <c r="A363" s="16">
        <v>362</v>
      </c>
      <c r="B363" s="16" t="s">
        <v>1056</v>
      </c>
      <c r="C363" s="17">
        <v>9780071802369</v>
      </c>
      <c r="D363" s="17">
        <v>9780071802369</v>
      </c>
      <c r="E363" s="16" t="s">
        <v>6995</v>
      </c>
      <c r="F363" s="16" t="s">
        <v>17</v>
      </c>
      <c r="G363" s="16" t="s">
        <v>17</v>
      </c>
      <c r="H363" s="16" t="s">
        <v>17</v>
      </c>
      <c r="I363" s="16" t="s">
        <v>17</v>
      </c>
      <c r="J363" s="16" t="s">
        <v>17</v>
      </c>
      <c r="K363" s="16" t="s">
        <v>1057</v>
      </c>
      <c r="L363" s="16" t="s">
        <v>27</v>
      </c>
      <c r="M363" s="16" t="s">
        <v>1056</v>
      </c>
      <c r="N363" s="16" t="s">
        <v>17</v>
      </c>
      <c r="O363" s="16" t="s">
        <v>6921</v>
      </c>
      <c r="P363" s="16" t="s">
        <v>17</v>
      </c>
      <c r="Q363" s="16" t="s">
        <v>6922</v>
      </c>
      <c r="R363" s="16" t="s">
        <v>6923</v>
      </c>
      <c r="S363" s="16" t="s">
        <v>17</v>
      </c>
      <c r="T363" s="16" t="s">
        <v>6995</v>
      </c>
      <c r="U363" s="16" t="s">
        <v>17</v>
      </c>
      <c r="V363" s="16" t="s">
        <v>7049</v>
      </c>
      <c r="W363" s="16" t="s">
        <v>17</v>
      </c>
      <c r="X363" s="16" t="s">
        <v>1056</v>
      </c>
      <c r="Y363" s="16" t="s">
        <v>17</v>
      </c>
      <c r="Z363" s="16" t="s">
        <v>6926</v>
      </c>
    </row>
    <row r="364" spans="1:26" x14ac:dyDescent="0.3">
      <c r="A364" s="16">
        <v>363</v>
      </c>
      <c r="B364" s="16" t="s">
        <v>8323</v>
      </c>
      <c r="C364" s="17">
        <v>9781260012200</v>
      </c>
      <c r="D364" s="17">
        <v>9781260012200</v>
      </c>
      <c r="E364" s="16" t="s">
        <v>7095</v>
      </c>
      <c r="F364" s="16" t="s">
        <v>17</v>
      </c>
      <c r="G364" s="16" t="s">
        <v>17</v>
      </c>
      <c r="H364" s="16" t="s">
        <v>17</v>
      </c>
      <c r="I364" s="16" t="s">
        <v>17</v>
      </c>
      <c r="J364" s="16" t="s">
        <v>17</v>
      </c>
      <c r="K364" s="16" t="s">
        <v>1378</v>
      </c>
      <c r="L364" s="16" t="s">
        <v>6937</v>
      </c>
      <c r="M364" s="16" t="s">
        <v>8323</v>
      </c>
      <c r="N364" s="16" t="s">
        <v>17</v>
      </c>
      <c r="O364" s="16" t="s">
        <v>6921</v>
      </c>
      <c r="P364" s="16" t="s">
        <v>17</v>
      </c>
      <c r="Q364" s="16" t="s">
        <v>6922</v>
      </c>
      <c r="R364" s="16" t="s">
        <v>6923</v>
      </c>
      <c r="S364" s="16" t="s">
        <v>17</v>
      </c>
      <c r="T364" s="16" t="s">
        <v>7095</v>
      </c>
      <c r="U364" s="16" t="s">
        <v>17</v>
      </c>
      <c r="V364" s="16" t="s">
        <v>6924</v>
      </c>
      <c r="W364" s="16" t="s">
        <v>17</v>
      </c>
      <c r="X364" s="16" t="s">
        <v>8323</v>
      </c>
      <c r="Y364" s="16" t="s">
        <v>17</v>
      </c>
      <c r="Z364" s="16" t="s">
        <v>6926</v>
      </c>
    </row>
    <row r="365" spans="1:26" x14ac:dyDescent="0.3">
      <c r="A365" s="16">
        <v>364</v>
      </c>
      <c r="B365" s="16" t="s">
        <v>8177</v>
      </c>
      <c r="C365" s="17">
        <v>9781260456882</v>
      </c>
      <c r="D365" s="17">
        <v>9781260456882</v>
      </c>
      <c r="E365" s="16" t="s">
        <v>7632</v>
      </c>
      <c r="F365" s="16" t="s">
        <v>17</v>
      </c>
      <c r="G365" s="16" t="s">
        <v>17</v>
      </c>
      <c r="H365" s="16" t="s">
        <v>17</v>
      </c>
      <c r="I365" s="16" t="s">
        <v>17</v>
      </c>
      <c r="J365" s="16" t="s">
        <v>17</v>
      </c>
      <c r="K365" s="16" t="s">
        <v>1259</v>
      </c>
      <c r="L365" s="16" t="s">
        <v>8178</v>
      </c>
      <c r="M365" s="16" t="s">
        <v>8177</v>
      </c>
      <c r="N365" s="16" t="s">
        <v>17</v>
      </c>
      <c r="O365" s="16" t="s">
        <v>6921</v>
      </c>
      <c r="P365" s="16" t="s">
        <v>17</v>
      </c>
      <c r="Q365" s="16" t="s">
        <v>6922</v>
      </c>
      <c r="R365" s="16" t="s">
        <v>6923</v>
      </c>
      <c r="S365" s="16" t="s">
        <v>17</v>
      </c>
      <c r="T365" s="16" t="s">
        <v>7632</v>
      </c>
      <c r="U365" s="16" t="s">
        <v>17</v>
      </c>
      <c r="V365" s="16" t="s">
        <v>6929</v>
      </c>
      <c r="W365" s="16" t="s">
        <v>17</v>
      </c>
      <c r="X365" s="16" t="s">
        <v>8177</v>
      </c>
      <c r="Y365" s="16" t="s">
        <v>17</v>
      </c>
      <c r="Z365" s="16" t="s">
        <v>6926</v>
      </c>
    </row>
    <row r="366" spans="1:26" x14ac:dyDescent="0.3">
      <c r="A366" s="16">
        <v>365</v>
      </c>
      <c r="B366" s="16" t="s">
        <v>7270</v>
      </c>
      <c r="C366" s="17">
        <v>9780071799249</v>
      </c>
      <c r="D366" s="17">
        <v>9780071799249</v>
      </c>
      <c r="E366" s="16" t="s">
        <v>7271</v>
      </c>
      <c r="F366" s="16" t="s">
        <v>17</v>
      </c>
      <c r="G366" s="16" t="s">
        <v>17</v>
      </c>
      <c r="H366" s="16" t="s">
        <v>17</v>
      </c>
      <c r="I366" s="16" t="s">
        <v>17</v>
      </c>
      <c r="J366" s="16" t="s">
        <v>17</v>
      </c>
      <c r="K366" s="16" t="s">
        <v>301</v>
      </c>
      <c r="L366" s="16" t="s">
        <v>300</v>
      </c>
      <c r="M366" s="16" t="s">
        <v>7270</v>
      </c>
      <c r="N366" s="16" t="s">
        <v>17</v>
      </c>
      <c r="O366" s="16" t="s">
        <v>6921</v>
      </c>
      <c r="P366" s="16" t="s">
        <v>17</v>
      </c>
      <c r="Q366" s="16" t="s">
        <v>6922</v>
      </c>
      <c r="R366" s="16" t="s">
        <v>6923</v>
      </c>
      <c r="S366" s="16" t="s">
        <v>17</v>
      </c>
      <c r="T366" s="16" t="s">
        <v>7271</v>
      </c>
      <c r="U366" s="16" t="s">
        <v>17</v>
      </c>
      <c r="V366" s="16" t="s">
        <v>6924</v>
      </c>
      <c r="W366" s="16" t="s">
        <v>17</v>
      </c>
      <c r="X366" s="16" t="s">
        <v>7270</v>
      </c>
      <c r="Y366" s="16" t="s">
        <v>17</v>
      </c>
      <c r="Z366" s="16" t="s">
        <v>6926</v>
      </c>
    </row>
    <row r="367" spans="1:26" x14ac:dyDescent="0.3">
      <c r="A367" s="16">
        <v>366</v>
      </c>
      <c r="B367" s="16" t="s">
        <v>8062</v>
      </c>
      <c r="C367" s="17">
        <v>9781260440447</v>
      </c>
      <c r="D367" s="17">
        <v>9781260440447</v>
      </c>
      <c r="E367" s="16" t="s">
        <v>7646</v>
      </c>
      <c r="F367" s="16" t="s">
        <v>17</v>
      </c>
      <c r="G367" s="16" t="s">
        <v>17</v>
      </c>
      <c r="H367" s="16" t="s">
        <v>17</v>
      </c>
      <c r="I367" s="16" t="s">
        <v>17</v>
      </c>
      <c r="J367" s="16" t="s">
        <v>17</v>
      </c>
      <c r="K367" s="16" t="s">
        <v>1141</v>
      </c>
      <c r="L367" s="16" t="s">
        <v>8063</v>
      </c>
      <c r="M367" s="16" t="s">
        <v>8062</v>
      </c>
      <c r="N367" s="16" t="s">
        <v>17</v>
      </c>
      <c r="O367" s="16" t="s">
        <v>6921</v>
      </c>
      <c r="P367" s="16" t="s">
        <v>17</v>
      </c>
      <c r="Q367" s="16" t="s">
        <v>6922</v>
      </c>
      <c r="R367" s="16" t="s">
        <v>6923</v>
      </c>
      <c r="S367" s="16" t="s">
        <v>17</v>
      </c>
      <c r="T367" s="16" t="s">
        <v>7646</v>
      </c>
      <c r="U367" s="16" t="s">
        <v>17</v>
      </c>
      <c r="V367" s="16" t="s">
        <v>6949</v>
      </c>
      <c r="W367" s="16" t="s">
        <v>17</v>
      </c>
      <c r="X367" s="16" t="s">
        <v>8062</v>
      </c>
      <c r="Y367" s="16" t="s">
        <v>17</v>
      </c>
      <c r="Z367" s="16" t="s">
        <v>6926</v>
      </c>
    </row>
    <row r="368" spans="1:26" x14ac:dyDescent="0.3">
      <c r="A368" s="16">
        <v>367</v>
      </c>
      <c r="B368" s="16" t="s">
        <v>8062</v>
      </c>
      <c r="C368" s="17">
        <v>9780071479165</v>
      </c>
      <c r="D368" s="17">
        <v>9780071479165</v>
      </c>
      <c r="E368" s="16" t="s">
        <v>6920</v>
      </c>
      <c r="F368" s="16" t="s">
        <v>17</v>
      </c>
      <c r="G368" s="16" t="s">
        <v>17</v>
      </c>
      <c r="H368" s="16" t="s">
        <v>17</v>
      </c>
      <c r="I368" s="16" t="s">
        <v>17</v>
      </c>
      <c r="J368" s="16" t="s">
        <v>17</v>
      </c>
      <c r="K368" s="16" t="s">
        <v>1393</v>
      </c>
      <c r="L368" s="16" t="s">
        <v>8063</v>
      </c>
      <c r="M368" s="16" t="s">
        <v>8062</v>
      </c>
      <c r="N368" s="16" t="s">
        <v>17</v>
      </c>
      <c r="O368" s="16" t="s">
        <v>6921</v>
      </c>
      <c r="P368" s="16" t="s">
        <v>17</v>
      </c>
      <c r="Q368" s="16" t="s">
        <v>6922</v>
      </c>
      <c r="R368" s="16" t="s">
        <v>6923</v>
      </c>
      <c r="S368" s="16" t="s">
        <v>17</v>
      </c>
      <c r="T368" s="16" t="s">
        <v>6920</v>
      </c>
      <c r="U368" s="16" t="s">
        <v>17</v>
      </c>
      <c r="V368" s="16" t="s">
        <v>6924</v>
      </c>
      <c r="W368" s="16" t="s">
        <v>17</v>
      </c>
      <c r="X368" s="16" t="s">
        <v>8062</v>
      </c>
      <c r="Y368" s="16" t="s">
        <v>17</v>
      </c>
      <c r="Z368" s="16" t="s">
        <v>6926</v>
      </c>
    </row>
    <row r="369" spans="1:26" x14ac:dyDescent="0.3">
      <c r="A369" s="16">
        <v>368</v>
      </c>
      <c r="B369" s="16" t="s">
        <v>7184</v>
      </c>
      <c r="C369" s="17">
        <v>9780070681675</v>
      </c>
      <c r="D369" s="17">
        <v>9780070681675</v>
      </c>
      <c r="E369" s="16" t="s">
        <v>7185</v>
      </c>
      <c r="F369" s="16" t="s">
        <v>17</v>
      </c>
      <c r="G369" s="16" t="s">
        <v>17</v>
      </c>
      <c r="H369" s="16" t="s">
        <v>17</v>
      </c>
      <c r="I369" s="16" t="s">
        <v>17</v>
      </c>
      <c r="J369" s="16" t="s">
        <v>17</v>
      </c>
      <c r="K369" s="16" t="s">
        <v>233</v>
      </c>
      <c r="L369" s="16" t="s">
        <v>7186</v>
      </c>
      <c r="M369" s="16" t="s">
        <v>7184</v>
      </c>
      <c r="N369" s="16" t="s">
        <v>17</v>
      </c>
      <c r="O369" s="16" t="s">
        <v>6921</v>
      </c>
      <c r="P369" s="16" t="s">
        <v>17</v>
      </c>
      <c r="Q369" s="16" t="s">
        <v>6922</v>
      </c>
      <c r="R369" s="16" t="s">
        <v>6923</v>
      </c>
      <c r="S369" s="16" t="s">
        <v>17</v>
      </c>
      <c r="T369" s="16" t="s">
        <v>7185</v>
      </c>
      <c r="U369" s="16" t="s">
        <v>17</v>
      </c>
      <c r="V369" s="16" t="s">
        <v>6924</v>
      </c>
      <c r="W369" s="16" t="s">
        <v>17</v>
      </c>
      <c r="X369" s="16" t="s">
        <v>7184</v>
      </c>
      <c r="Y369" s="16" t="s">
        <v>17</v>
      </c>
      <c r="Z369" s="16" t="s">
        <v>6926</v>
      </c>
    </row>
    <row r="370" spans="1:26" x14ac:dyDescent="0.3">
      <c r="A370" s="16">
        <v>369</v>
      </c>
      <c r="B370" s="16" t="s">
        <v>6964</v>
      </c>
      <c r="C370" s="17">
        <v>9780070604605</v>
      </c>
      <c r="D370" s="17">
        <v>9780070604605</v>
      </c>
      <c r="E370" s="16" t="s">
        <v>6965</v>
      </c>
      <c r="F370" s="16" t="s">
        <v>17</v>
      </c>
      <c r="G370" s="16" t="s">
        <v>17</v>
      </c>
      <c r="H370" s="16" t="s">
        <v>17</v>
      </c>
      <c r="I370" s="16" t="s">
        <v>17</v>
      </c>
      <c r="J370" s="16" t="s">
        <v>17</v>
      </c>
      <c r="K370" s="16" t="s">
        <v>46</v>
      </c>
      <c r="L370" s="16" t="s">
        <v>6966</v>
      </c>
      <c r="M370" s="16" t="s">
        <v>6964</v>
      </c>
      <c r="N370" s="16" t="s">
        <v>17</v>
      </c>
      <c r="O370" s="16" t="s">
        <v>6921</v>
      </c>
      <c r="P370" s="16" t="s">
        <v>17</v>
      </c>
      <c r="Q370" s="16" t="s">
        <v>6922</v>
      </c>
      <c r="R370" s="16" t="s">
        <v>6923</v>
      </c>
      <c r="S370" s="16" t="s">
        <v>17</v>
      </c>
      <c r="T370" s="16" t="s">
        <v>6965</v>
      </c>
      <c r="U370" s="16" t="s">
        <v>17</v>
      </c>
      <c r="V370" s="16" t="s">
        <v>6924</v>
      </c>
      <c r="W370" s="16" t="s">
        <v>17</v>
      </c>
      <c r="X370" s="16" t="s">
        <v>6964</v>
      </c>
      <c r="Y370" s="16" t="s">
        <v>17</v>
      </c>
      <c r="Z370" s="16" t="s">
        <v>6926</v>
      </c>
    </row>
    <row r="371" spans="1:26" x14ac:dyDescent="0.3">
      <c r="A371" s="16">
        <v>370</v>
      </c>
      <c r="B371" s="16" t="s">
        <v>399</v>
      </c>
      <c r="C371" s="17">
        <v>9780071835091</v>
      </c>
      <c r="D371" s="17">
        <v>9780071835091</v>
      </c>
      <c r="E371" s="16" t="s">
        <v>7383</v>
      </c>
      <c r="F371" s="16" t="s">
        <v>17</v>
      </c>
      <c r="G371" s="16" t="s">
        <v>17</v>
      </c>
      <c r="H371" s="16" t="s">
        <v>17</v>
      </c>
      <c r="I371" s="16" t="s">
        <v>17</v>
      </c>
      <c r="J371" s="16" t="s">
        <v>17</v>
      </c>
      <c r="K371" s="16" t="s">
        <v>401</v>
      </c>
      <c r="L371" s="16" t="s">
        <v>400</v>
      </c>
      <c r="M371" s="16" t="s">
        <v>399</v>
      </c>
      <c r="N371" s="16" t="s">
        <v>17</v>
      </c>
      <c r="O371" s="16" t="s">
        <v>6921</v>
      </c>
      <c r="P371" s="16" t="s">
        <v>17</v>
      </c>
      <c r="Q371" s="16" t="s">
        <v>6922</v>
      </c>
      <c r="R371" s="16" t="s">
        <v>6923</v>
      </c>
      <c r="S371" s="16" t="s">
        <v>17</v>
      </c>
      <c r="T371" s="16" t="s">
        <v>7383</v>
      </c>
      <c r="U371" s="16" t="s">
        <v>17</v>
      </c>
      <c r="V371" s="16" t="s">
        <v>7384</v>
      </c>
      <c r="W371" s="16" t="s">
        <v>17</v>
      </c>
      <c r="X371" s="16" t="s">
        <v>399</v>
      </c>
      <c r="Y371" s="16" t="s">
        <v>17</v>
      </c>
      <c r="Z371" s="16" t="s">
        <v>6926</v>
      </c>
    </row>
    <row r="372" spans="1:26" x14ac:dyDescent="0.3">
      <c r="A372" s="16">
        <v>371</v>
      </c>
      <c r="B372" s="16" t="s">
        <v>7365</v>
      </c>
      <c r="C372" s="17">
        <v>9789339205430</v>
      </c>
      <c r="D372" s="17">
        <v>9789339205430</v>
      </c>
      <c r="E372" s="16" t="s">
        <v>7178</v>
      </c>
      <c r="F372" s="16" t="s">
        <v>17</v>
      </c>
      <c r="G372" s="16" t="s">
        <v>17</v>
      </c>
      <c r="H372" s="16" t="s">
        <v>17</v>
      </c>
      <c r="I372" s="16" t="s">
        <v>17</v>
      </c>
      <c r="J372" s="16" t="s">
        <v>17</v>
      </c>
      <c r="K372" s="16" t="s">
        <v>381</v>
      </c>
      <c r="L372" s="16" t="s">
        <v>7366</v>
      </c>
      <c r="M372" s="16" t="s">
        <v>7365</v>
      </c>
      <c r="N372" s="16" t="s">
        <v>17</v>
      </c>
      <c r="O372" s="16" t="s">
        <v>6921</v>
      </c>
      <c r="P372" s="16" t="s">
        <v>17</v>
      </c>
      <c r="Q372" s="16" t="s">
        <v>6922</v>
      </c>
      <c r="R372" s="16" t="s">
        <v>6923</v>
      </c>
      <c r="S372" s="16" t="s">
        <v>17</v>
      </c>
      <c r="T372" s="16" t="s">
        <v>7178</v>
      </c>
      <c r="U372" s="16" t="s">
        <v>17</v>
      </c>
      <c r="V372" s="16" t="s">
        <v>6949</v>
      </c>
      <c r="W372" s="16" t="s">
        <v>17</v>
      </c>
      <c r="X372" s="16" t="s">
        <v>7365</v>
      </c>
      <c r="Y372" s="16" t="s">
        <v>17</v>
      </c>
      <c r="Z372" s="16" t="s">
        <v>6926</v>
      </c>
    </row>
    <row r="373" spans="1:26" x14ac:dyDescent="0.3">
      <c r="A373" s="16">
        <v>372</v>
      </c>
      <c r="B373" s="16" t="s">
        <v>7364</v>
      </c>
      <c r="C373" s="17">
        <v>9780071768047</v>
      </c>
      <c r="D373" s="17">
        <v>9780071768047</v>
      </c>
      <c r="E373" s="16" t="s">
        <v>7275</v>
      </c>
      <c r="F373" s="16" t="s">
        <v>17</v>
      </c>
      <c r="G373" s="16" t="s">
        <v>17</v>
      </c>
      <c r="H373" s="16" t="s">
        <v>17</v>
      </c>
      <c r="I373" s="16" t="s">
        <v>17</v>
      </c>
      <c r="J373" s="16" t="s">
        <v>17</v>
      </c>
      <c r="K373" s="16" t="s">
        <v>380</v>
      </c>
      <c r="L373" s="16" t="s">
        <v>17</v>
      </c>
      <c r="M373" s="16" t="s">
        <v>7364</v>
      </c>
      <c r="N373" s="16" t="s">
        <v>17</v>
      </c>
      <c r="O373" s="16" t="s">
        <v>6921</v>
      </c>
      <c r="P373" s="16" t="s">
        <v>17</v>
      </c>
      <c r="Q373" s="16" t="s">
        <v>6922</v>
      </c>
      <c r="R373" s="16" t="s">
        <v>6923</v>
      </c>
      <c r="S373" s="16" t="s">
        <v>17</v>
      </c>
      <c r="T373" s="16" t="s">
        <v>7275</v>
      </c>
      <c r="U373" s="16" t="s">
        <v>17</v>
      </c>
      <c r="V373" s="16" t="s">
        <v>7024</v>
      </c>
      <c r="W373" s="16" t="s">
        <v>7300</v>
      </c>
      <c r="X373" s="16" t="s">
        <v>7364</v>
      </c>
      <c r="Y373" s="16" t="s">
        <v>17</v>
      </c>
      <c r="Z373" s="16" t="s">
        <v>6926</v>
      </c>
    </row>
    <row r="374" spans="1:26" x14ac:dyDescent="0.3">
      <c r="A374" s="16">
        <v>373</v>
      </c>
      <c r="B374" s="16" t="s">
        <v>8291</v>
      </c>
      <c r="C374" s="17">
        <v>9781259586859</v>
      </c>
      <c r="D374" s="17">
        <v>9781259586859</v>
      </c>
      <c r="E374" s="16" t="s">
        <v>7968</v>
      </c>
      <c r="F374" s="16" t="s">
        <v>17</v>
      </c>
      <c r="G374" s="16" t="s">
        <v>17</v>
      </c>
      <c r="H374" s="16" t="s">
        <v>17</v>
      </c>
      <c r="I374" s="16" t="s">
        <v>17</v>
      </c>
      <c r="J374" s="16" t="s">
        <v>17</v>
      </c>
      <c r="K374" s="16" t="s">
        <v>1355</v>
      </c>
      <c r="L374" s="16" t="s">
        <v>17</v>
      </c>
      <c r="M374" s="16" t="s">
        <v>8291</v>
      </c>
      <c r="N374" s="16" t="s">
        <v>17</v>
      </c>
      <c r="O374" s="16" t="s">
        <v>6921</v>
      </c>
      <c r="P374" s="16" t="s">
        <v>17</v>
      </c>
      <c r="Q374" s="16" t="s">
        <v>6922</v>
      </c>
      <c r="R374" s="16" t="s">
        <v>6923</v>
      </c>
      <c r="S374" s="16" t="s">
        <v>17</v>
      </c>
      <c r="T374" s="16" t="s">
        <v>7968</v>
      </c>
      <c r="U374" s="16" t="s">
        <v>17</v>
      </c>
      <c r="V374" s="16" t="s">
        <v>6949</v>
      </c>
      <c r="W374" s="16" t="s">
        <v>7300</v>
      </c>
      <c r="X374" s="16" t="s">
        <v>8291</v>
      </c>
      <c r="Y374" s="16" t="s">
        <v>17</v>
      </c>
      <c r="Z374" s="16" t="s">
        <v>6926</v>
      </c>
    </row>
    <row r="375" spans="1:26" x14ac:dyDescent="0.3">
      <c r="A375" s="16">
        <v>374</v>
      </c>
      <c r="B375" s="16" t="s">
        <v>7891</v>
      </c>
      <c r="C375" s="17">
        <v>9780071472937</v>
      </c>
      <c r="D375" s="17">
        <v>9780071472937</v>
      </c>
      <c r="E375" s="16" t="s">
        <v>6920</v>
      </c>
      <c r="F375" s="16" t="s">
        <v>17</v>
      </c>
      <c r="G375" s="16" t="s">
        <v>17</v>
      </c>
      <c r="H375" s="16" t="s">
        <v>17</v>
      </c>
      <c r="I375" s="16" t="s">
        <v>17</v>
      </c>
      <c r="J375" s="16" t="s">
        <v>17</v>
      </c>
      <c r="K375" s="16" t="s">
        <v>891</v>
      </c>
      <c r="L375" s="16" t="s">
        <v>506</v>
      </c>
      <c r="M375" s="16" t="s">
        <v>7891</v>
      </c>
      <c r="N375" s="16" t="s">
        <v>17</v>
      </c>
      <c r="O375" s="16" t="s">
        <v>6921</v>
      </c>
      <c r="P375" s="16" t="s">
        <v>17</v>
      </c>
      <c r="Q375" s="16" t="s">
        <v>6922</v>
      </c>
      <c r="R375" s="16" t="s">
        <v>6923</v>
      </c>
      <c r="S375" s="16" t="s">
        <v>17</v>
      </c>
      <c r="T375" s="16" t="s">
        <v>6920</v>
      </c>
      <c r="U375" s="16" t="s">
        <v>17</v>
      </c>
      <c r="V375" s="16" t="s">
        <v>7480</v>
      </c>
      <c r="W375" s="16" t="s">
        <v>17</v>
      </c>
      <c r="X375" s="16" t="s">
        <v>7891</v>
      </c>
      <c r="Y375" s="16" t="s">
        <v>17</v>
      </c>
      <c r="Z375" s="16" t="s">
        <v>6926</v>
      </c>
    </row>
    <row r="376" spans="1:26" x14ac:dyDescent="0.3">
      <c r="A376" s="16">
        <v>375</v>
      </c>
      <c r="B376" s="16" t="s">
        <v>7050</v>
      </c>
      <c r="C376" s="17">
        <v>9780070276895</v>
      </c>
      <c r="D376" s="17">
        <v>9780070276895</v>
      </c>
      <c r="E376" s="16" t="s">
        <v>6920</v>
      </c>
      <c r="F376" s="16" t="s">
        <v>17</v>
      </c>
      <c r="G376" s="16" t="s">
        <v>17</v>
      </c>
      <c r="H376" s="16" t="s">
        <v>17</v>
      </c>
      <c r="I376" s="16" t="s">
        <v>17</v>
      </c>
      <c r="J376" s="16" t="s">
        <v>17</v>
      </c>
      <c r="K376" s="16" t="s">
        <v>114</v>
      </c>
      <c r="L376" s="16" t="s">
        <v>17</v>
      </c>
      <c r="M376" s="16" t="s">
        <v>7050</v>
      </c>
      <c r="N376" s="16" t="s">
        <v>17</v>
      </c>
      <c r="O376" s="16" t="s">
        <v>6921</v>
      </c>
      <c r="P376" s="16" t="s">
        <v>17</v>
      </c>
      <c r="Q376" s="16" t="s">
        <v>6922</v>
      </c>
      <c r="R376" s="16" t="s">
        <v>6923</v>
      </c>
      <c r="S376" s="16" t="s">
        <v>17</v>
      </c>
      <c r="T376" s="16" t="s">
        <v>6920</v>
      </c>
      <c r="U376" s="16" t="s">
        <v>17</v>
      </c>
      <c r="V376" s="16" t="s">
        <v>6929</v>
      </c>
      <c r="W376" s="16" t="s">
        <v>7051</v>
      </c>
      <c r="X376" s="16" t="s">
        <v>7050</v>
      </c>
      <c r="Y376" s="16" t="s">
        <v>17</v>
      </c>
      <c r="Z376" s="16" t="s">
        <v>6926</v>
      </c>
    </row>
    <row r="377" spans="1:26" x14ac:dyDescent="0.3">
      <c r="A377" s="16">
        <v>376</v>
      </c>
      <c r="B377" s="16" t="s">
        <v>7392</v>
      </c>
      <c r="C377" s="17">
        <v>9781260116977</v>
      </c>
      <c r="D377" s="17">
        <v>9781260116977</v>
      </c>
      <c r="E377" s="16" t="s">
        <v>7393</v>
      </c>
      <c r="F377" s="16" t="s">
        <v>17</v>
      </c>
      <c r="G377" s="16" t="s">
        <v>17</v>
      </c>
      <c r="H377" s="16" t="s">
        <v>17</v>
      </c>
      <c r="I377" s="16" t="s">
        <v>17</v>
      </c>
      <c r="J377" s="16" t="s">
        <v>17</v>
      </c>
      <c r="K377" s="16" t="s">
        <v>408</v>
      </c>
      <c r="L377" s="16" t="s">
        <v>7394</v>
      </c>
      <c r="M377" s="16" t="s">
        <v>7392</v>
      </c>
      <c r="N377" s="16" t="s">
        <v>17</v>
      </c>
      <c r="O377" s="16" t="s">
        <v>6921</v>
      </c>
      <c r="P377" s="16" t="s">
        <v>17</v>
      </c>
      <c r="Q377" s="16" t="s">
        <v>6922</v>
      </c>
      <c r="R377" s="16" t="s">
        <v>6923</v>
      </c>
      <c r="S377" s="16" t="s">
        <v>17</v>
      </c>
      <c r="T377" s="16" t="s">
        <v>7393</v>
      </c>
      <c r="U377" s="16" t="s">
        <v>17</v>
      </c>
      <c r="V377" s="16" t="s">
        <v>6949</v>
      </c>
      <c r="W377" s="16" t="s">
        <v>17</v>
      </c>
      <c r="X377" s="16" t="s">
        <v>7392</v>
      </c>
      <c r="Y377" s="16" t="s">
        <v>17</v>
      </c>
      <c r="Z377" s="16" t="s">
        <v>6926</v>
      </c>
    </row>
    <row r="378" spans="1:26" x14ac:dyDescent="0.3">
      <c r="A378" s="16">
        <v>377</v>
      </c>
      <c r="B378" s="16" t="s">
        <v>828</v>
      </c>
      <c r="C378" s="17">
        <v>9780071750370</v>
      </c>
      <c r="D378" s="17">
        <v>9780071750370</v>
      </c>
      <c r="E378" s="16" t="s">
        <v>7299</v>
      </c>
      <c r="F378" s="16" t="s">
        <v>17</v>
      </c>
      <c r="G378" s="16" t="s">
        <v>17</v>
      </c>
      <c r="H378" s="16" t="s">
        <v>17</v>
      </c>
      <c r="I378" s="16" t="s">
        <v>17</v>
      </c>
      <c r="J378" s="16" t="s">
        <v>17</v>
      </c>
      <c r="K378" s="16" t="s">
        <v>830</v>
      </c>
      <c r="L378" s="16" t="s">
        <v>829</v>
      </c>
      <c r="M378" s="16" t="s">
        <v>828</v>
      </c>
      <c r="N378" s="16" t="s">
        <v>17</v>
      </c>
      <c r="O378" s="16" t="s">
        <v>6921</v>
      </c>
      <c r="P378" s="16" t="s">
        <v>17</v>
      </c>
      <c r="Q378" s="16" t="s">
        <v>6922</v>
      </c>
      <c r="R378" s="16" t="s">
        <v>6923</v>
      </c>
      <c r="S378" s="16" t="s">
        <v>17</v>
      </c>
      <c r="T378" s="16" t="s">
        <v>7299</v>
      </c>
      <c r="U378" s="16" t="s">
        <v>17</v>
      </c>
      <c r="V378" s="16" t="s">
        <v>7183</v>
      </c>
      <c r="W378" s="16" t="s">
        <v>17</v>
      </c>
      <c r="X378" s="16" t="s">
        <v>828</v>
      </c>
      <c r="Y378" s="16" t="s">
        <v>17</v>
      </c>
      <c r="Z378" s="16" t="s">
        <v>6926</v>
      </c>
    </row>
    <row r="379" spans="1:26" x14ac:dyDescent="0.3">
      <c r="A379" s="16">
        <v>378</v>
      </c>
      <c r="B379" s="16" t="s">
        <v>7698</v>
      </c>
      <c r="C379" s="17">
        <v>9780071462716</v>
      </c>
      <c r="D379" s="17">
        <v>9780071462716</v>
      </c>
      <c r="E379" s="16" t="s">
        <v>6920</v>
      </c>
      <c r="F379" s="16" t="s">
        <v>17</v>
      </c>
      <c r="G379" s="16" t="s">
        <v>17</v>
      </c>
      <c r="H379" s="16" t="s">
        <v>17</v>
      </c>
      <c r="I379" s="16" t="s">
        <v>17</v>
      </c>
      <c r="J379" s="16" t="s">
        <v>17</v>
      </c>
      <c r="K379" s="16" t="s">
        <v>689</v>
      </c>
      <c r="L379" s="16" t="s">
        <v>688</v>
      </c>
      <c r="M379" s="16" t="s">
        <v>7698</v>
      </c>
      <c r="N379" s="16" t="s">
        <v>17</v>
      </c>
      <c r="O379" s="16" t="s">
        <v>6921</v>
      </c>
      <c r="P379" s="16" t="s">
        <v>17</v>
      </c>
      <c r="Q379" s="16" t="s">
        <v>6922</v>
      </c>
      <c r="R379" s="16" t="s">
        <v>6923</v>
      </c>
      <c r="S379" s="16" t="s">
        <v>17</v>
      </c>
      <c r="T379" s="16" t="s">
        <v>6920</v>
      </c>
      <c r="U379" s="16" t="s">
        <v>17</v>
      </c>
      <c r="V379" s="16" t="s">
        <v>6924</v>
      </c>
      <c r="W379" s="16" t="s">
        <v>17</v>
      </c>
      <c r="X379" s="16" t="s">
        <v>7698</v>
      </c>
      <c r="Y379" s="16" t="s">
        <v>17</v>
      </c>
      <c r="Z379" s="16" t="s">
        <v>6926</v>
      </c>
    </row>
    <row r="380" spans="1:26" x14ac:dyDescent="0.3">
      <c r="A380" s="16">
        <v>379</v>
      </c>
      <c r="B380" s="16" t="s">
        <v>7256</v>
      </c>
      <c r="C380" s="17">
        <v>9780071823906</v>
      </c>
      <c r="D380" s="17">
        <v>9780071823906</v>
      </c>
      <c r="E380" s="16" t="s">
        <v>6981</v>
      </c>
      <c r="F380" s="16" t="s">
        <v>17</v>
      </c>
      <c r="G380" s="16" t="s">
        <v>17</v>
      </c>
      <c r="H380" s="16" t="s">
        <v>17</v>
      </c>
      <c r="I380" s="16" t="s">
        <v>17</v>
      </c>
      <c r="J380" s="16" t="s">
        <v>17</v>
      </c>
      <c r="K380" s="16" t="s">
        <v>289</v>
      </c>
      <c r="L380" s="16" t="s">
        <v>17</v>
      </c>
      <c r="M380" s="16" t="s">
        <v>7256</v>
      </c>
      <c r="N380" s="16" t="s">
        <v>17</v>
      </c>
      <c r="O380" s="16" t="s">
        <v>6921</v>
      </c>
      <c r="P380" s="16" t="s">
        <v>17</v>
      </c>
      <c r="Q380" s="16" t="s">
        <v>6922</v>
      </c>
      <c r="R380" s="16" t="s">
        <v>6923</v>
      </c>
      <c r="S380" s="16" t="s">
        <v>17</v>
      </c>
      <c r="T380" s="16" t="s">
        <v>6981</v>
      </c>
      <c r="U380" s="16" t="s">
        <v>17</v>
      </c>
      <c r="V380" s="16" t="s">
        <v>7024</v>
      </c>
      <c r="W380" s="16" t="s">
        <v>7257</v>
      </c>
      <c r="X380" s="16" t="s">
        <v>7256</v>
      </c>
      <c r="Y380" s="16" t="s">
        <v>17</v>
      </c>
      <c r="Z380" s="16" t="s">
        <v>6926</v>
      </c>
    </row>
    <row r="381" spans="1:26" x14ac:dyDescent="0.3">
      <c r="A381" s="16">
        <v>380</v>
      </c>
      <c r="B381" s="16" t="s">
        <v>8360</v>
      </c>
      <c r="C381" s="17">
        <v>9780071362986</v>
      </c>
      <c r="D381" s="17">
        <v>9780071362986</v>
      </c>
      <c r="E381" s="16" t="s">
        <v>6920</v>
      </c>
      <c r="F381" s="16" t="s">
        <v>17</v>
      </c>
      <c r="G381" s="16" t="s">
        <v>17</v>
      </c>
      <c r="H381" s="16" t="s">
        <v>17</v>
      </c>
      <c r="I381" s="16" t="s">
        <v>17</v>
      </c>
      <c r="J381" s="16" t="s">
        <v>17</v>
      </c>
      <c r="K381" s="16" t="s">
        <v>1483</v>
      </c>
      <c r="L381" s="16" t="s">
        <v>288</v>
      </c>
      <c r="M381" s="16" t="s">
        <v>8360</v>
      </c>
      <c r="N381" s="16" t="s">
        <v>17</v>
      </c>
      <c r="O381" s="16" t="s">
        <v>6921</v>
      </c>
      <c r="P381" s="16" t="s">
        <v>17</v>
      </c>
      <c r="Q381" s="16" t="s">
        <v>6922</v>
      </c>
      <c r="R381" s="16" t="s">
        <v>6923</v>
      </c>
      <c r="S381" s="16" t="s">
        <v>17</v>
      </c>
      <c r="T381" s="16" t="s">
        <v>6920</v>
      </c>
      <c r="U381" s="16" t="s">
        <v>17</v>
      </c>
      <c r="V381" s="16" t="s">
        <v>7363</v>
      </c>
      <c r="W381" s="16" t="s">
        <v>17</v>
      </c>
      <c r="X381" s="16" t="s">
        <v>8360</v>
      </c>
      <c r="Y381" s="16" t="s">
        <v>17</v>
      </c>
      <c r="Z381" s="16" t="s">
        <v>6926</v>
      </c>
    </row>
    <row r="382" spans="1:26" x14ac:dyDescent="0.3">
      <c r="A382" s="16">
        <v>381</v>
      </c>
      <c r="B382" s="16" t="s">
        <v>7218</v>
      </c>
      <c r="C382" s="17">
        <v>9780071377515</v>
      </c>
      <c r="D382" s="17">
        <v>9780071377515</v>
      </c>
      <c r="E382" s="16" t="s">
        <v>6920</v>
      </c>
      <c r="F382" s="16" t="s">
        <v>17</v>
      </c>
      <c r="G382" s="16" t="s">
        <v>17</v>
      </c>
      <c r="H382" s="16" t="s">
        <v>17</v>
      </c>
      <c r="I382" s="16" t="s">
        <v>17</v>
      </c>
      <c r="J382" s="16" t="s">
        <v>17</v>
      </c>
      <c r="K382" s="16" t="s">
        <v>254</v>
      </c>
      <c r="L382" s="16" t="s">
        <v>253</v>
      </c>
      <c r="M382" s="16" t="s">
        <v>7218</v>
      </c>
      <c r="N382" s="16" t="s">
        <v>17</v>
      </c>
      <c r="O382" s="16" t="s">
        <v>6921</v>
      </c>
      <c r="P382" s="16" t="s">
        <v>17</v>
      </c>
      <c r="Q382" s="16" t="s">
        <v>6922</v>
      </c>
      <c r="R382" s="16" t="s">
        <v>6923</v>
      </c>
      <c r="S382" s="16" t="s">
        <v>17</v>
      </c>
      <c r="T382" s="16" t="s">
        <v>6920</v>
      </c>
      <c r="U382" s="16" t="s">
        <v>17</v>
      </c>
      <c r="V382" s="16" t="s">
        <v>6924</v>
      </c>
      <c r="W382" s="16" t="s">
        <v>17</v>
      </c>
      <c r="X382" s="16" t="s">
        <v>7218</v>
      </c>
      <c r="Y382" s="16" t="s">
        <v>17</v>
      </c>
      <c r="Z382" s="16" t="s">
        <v>6926</v>
      </c>
    </row>
    <row r="383" spans="1:26" x14ac:dyDescent="0.3">
      <c r="A383" s="16">
        <v>382</v>
      </c>
      <c r="B383" s="16" t="s">
        <v>7298</v>
      </c>
      <c r="C383" s="17">
        <v>9780071745529</v>
      </c>
      <c r="D383" s="17">
        <v>9780071745529</v>
      </c>
      <c r="E383" s="16" t="s">
        <v>7299</v>
      </c>
      <c r="F383" s="16" t="s">
        <v>17</v>
      </c>
      <c r="G383" s="16" t="s">
        <v>17</v>
      </c>
      <c r="H383" s="16" t="s">
        <v>17</v>
      </c>
      <c r="I383" s="16" t="s">
        <v>17</v>
      </c>
      <c r="J383" s="16" t="s">
        <v>17</v>
      </c>
      <c r="K383" s="16" t="s">
        <v>316</v>
      </c>
      <c r="L383" s="16" t="s">
        <v>7300</v>
      </c>
      <c r="M383" s="16" t="s">
        <v>7298</v>
      </c>
      <c r="N383" s="16" t="s">
        <v>17</v>
      </c>
      <c r="O383" s="16" t="s">
        <v>6921</v>
      </c>
      <c r="P383" s="16" t="s">
        <v>17</v>
      </c>
      <c r="Q383" s="16" t="s">
        <v>6922</v>
      </c>
      <c r="R383" s="16" t="s">
        <v>6923</v>
      </c>
      <c r="S383" s="16" t="s">
        <v>17</v>
      </c>
      <c r="T383" s="16" t="s">
        <v>7299</v>
      </c>
      <c r="U383" s="16" t="s">
        <v>17</v>
      </c>
      <c r="V383" s="16" t="s">
        <v>6929</v>
      </c>
      <c r="W383" s="16" t="s">
        <v>17</v>
      </c>
      <c r="X383" s="16" t="s">
        <v>7298</v>
      </c>
      <c r="Y383" s="16" t="s">
        <v>17</v>
      </c>
      <c r="Z383" s="16" t="s">
        <v>6926</v>
      </c>
    </row>
    <row r="384" spans="1:26" x14ac:dyDescent="0.3">
      <c r="A384" s="16">
        <v>383</v>
      </c>
      <c r="B384" s="16" t="s">
        <v>8024</v>
      </c>
      <c r="C384" s="17">
        <v>9781259860225</v>
      </c>
      <c r="D384" s="17">
        <v>9781259860225</v>
      </c>
      <c r="E384" s="16" t="s">
        <v>7835</v>
      </c>
      <c r="F384" s="16" t="s">
        <v>17</v>
      </c>
      <c r="G384" s="16" t="s">
        <v>17</v>
      </c>
      <c r="H384" s="16" t="s">
        <v>17</v>
      </c>
      <c r="I384" s="16" t="s">
        <v>17</v>
      </c>
      <c r="J384" s="16" t="s">
        <v>17</v>
      </c>
      <c r="K384" s="16" t="s">
        <v>1087</v>
      </c>
      <c r="L384" s="16" t="s">
        <v>17</v>
      </c>
      <c r="M384" s="16" t="s">
        <v>8024</v>
      </c>
      <c r="N384" s="16" t="s">
        <v>17</v>
      </c>
      <c r="O384" s="16" t="s">
        <v>6921</v>
      </c>
      <c r="P384" s="16" t="s">
        <v>17</v>
      </c>
      <c r="Q384" s="16" t="s">
        <v>6922</v>
      </c>
      <c r="R384" s="16" t="s">
        <v>6923</v>
      </c>
      <c r="S384" s="16" t="s">
        <v>17</v>
      </c>
      <c r="T384" s="16" t="s">
        <v>7835</v>
      </c>
      <c r="U384" s="16" t="s">
        <v>17</v>
      </c>
      <c r="V384" s="16" t="s">
        <v>6929</v>
      </c>
      <c r="W384" s="16" t="s">
        <v>8025</v>
      </c>
      <c r="X384" s="16" t="s">
        <v>8024</v>
      </c>
      <c r="Y384" s="16" t="s">
        <v>17</v>
      </c>
      <c r="Z384" s="16" t="s">
        <v>6926</v>
      </c>
    </row>
    <row r="385" spans="1:26" x14ac:dyDescent="0.3">
      <c r="A385" s="16">
        <v>384</v>
      </c>
      <c r="B385" s="16" t="s">
        <v>7696</v>
      </c>
      <c r="C385" s="17">
        <v>9780071475839</v>
      </c>
      <c r="D385" s="17">
        <v>9780071475839</v>
      </c>
      <c r="E385" s="16" t="s">
        <v>6920</v>
      </c>
      <c r="F385" s="16" t="s">
        <v>17</v>
      </c>
      <c r="G385" s="16" t="s">
        <v>17</v>
      </c>
      <c r="H385" s="16" t="s">
        <v>17</v>
      </c>
      <c r="I385" s="16" t="s">
        <v>17</v>
      </c>
      <c r="J385" s="16" t="s">
        <v>17</v>
      </c>
      <c r="K385" s="16" t="s">
        <v>687</v>
      </c>
      <c r="L385" s="16" t="s">
        <v>17</v>
      </c>
      <c r="M385" s="16" t="s">
        <v>7696</v>
      </c>
      <c r="N385" s="16" t="s">
        <v>17</v>
      </c>
      <c r="O385" s="16" t="s">
        <v>6921</v>
      </c>
      <c r="P385" s="16" t="s">
        <v>17</v>
      </c>
      <c r="Q385" s="16" t="s">
        <v>6922</v>
      </c>
      <c r="R385" s="16" t="s">
        <v>6923</v>
      </c>
      <c r="S385" s="16" t="s">
        <v>17</v>
      </c>
      <c r="T385" s="16" t="s">
        <v>6920</v>
      </c>
      <c r="U385" s="16" t="s">
        <v>17</v>
      </c>
      <c r="V385" s="16" t="s">
        <v>6924</v>
      </c>
      <c r="W385" s="16" t="s">
        <v>7697</v>
      </c>
      <c r="X385" s="16" t="s">
        <v>7696</v>
      </c>
      <c r="Y385" s="16" t="s">
        <v>17</v>
      </c>
      <c r="Z385" s="16" t="s">
        <v>6926</v>
      </c>
    </row>
    <row r="386" spans="1:26" x14ac:dyDescent="0.3">
      <c r="A386" s="16">
        <v>385</v>
      </c>
      <c r="B386" s="16" t="s">
        <v>7198</v>
      </c>
      <c r="C386" s="17">
        <v>9780070535558</v>
      </c>
      <c r="D386" s="17">
        <v>9780070535558</v>
      </c>
      <c r="E386" s="16" t="s">
        <v>7199</v>
      </c>
      <c r="F386" s="16" t="s">
        <v>17</v>
      </c>
      <c r="G386" s="16" t="s">
        <v>17</v>
      </c>
      <c r="H386" s="16" t="s">
        <v>17</v>
      </c>
      <c r="I386" s="16" t="s">
        <v>17</v>
      </c>
      <c r="J386" s="16" t="s">
        <v>17</v>
      </c>
      <c r="K386" s="16" t="s">
        <v>241</v>
      </c>
      <c r="L386" s="16" t="s">
        <v>17</v>
      </c>
      <c r="M386" s="16" t="s">
        <v>7198</v>
      </c>
      <c r="N386" s="16" t="s">
        <v>17</v>
      </c>
      <c r="O386" s="16" t="s">
        <v>6921</v>
      </c>
      <c r="P386" s="16" t="s">
        <v>17</v>
      </c>
      <c r="Q386" s="16" t="s">
        <v>6922</v>
      </c>
      <c r="R386" s="16" t="s">
        <v>6923</v>
      </c>
      <c r="S386" s="16" t="s">
        <v>17</v>
      </c>
      <c r="T386" s="16" t="s">
        <v>7199</v>
      </c>
      <c r="U386" s="16" t="s">
        <v>17</v>
      </c>
      <c r="V386" s="16" t="s">
        <v>6929</v>
      </c>
      <c r="W386" s="16" t="s">
        <v>7200</v>
      </c>
      <c r="X386" s="16" t="s">
        <v>7198</v>
      </c>
      <c r="Y386" s="16" t="s">
        <v>17</v>
      </c>
      <c r="Z386" s="16" t="s">
        <v>6926</v>
      </c>
    </row>
    <row r="387" spans="1:26" x14ac:dyDescent="0.3">
      <c r="A387" s="16">
        <v>386</v>
      </c>
      <c r="B387" s="16" t="s">
        <v>8070</v>
      </c>
      <c r="C387" s="17">
        <v>9781259859687</v>
      </c>
      <c r="D387" s="17">
        <v>9781259859687</v>
      </c>
      <c r="E387" s="16" t="s">
        <v>7827</v>
      </c>
      <c r="F387" s="16" t="s">
        <v>17</v>
      </c>
      <c r="G387" s="16" t="s">
        <v>17</v>
      </c>
      <c r="H387" s="16" t="s">
        <v>17</v>
      </c>
      <c r="I387" s="16" t="s">
        <v>17</v>
      </c>
      <c r="J387" s="16" t="s">
        <v>17</v>
      </c>
      <c r="K387" s="16" t="s">
        <v>1147</v>
      </c>
      <c r="L387" s="16" t="s">
        <v>8071</v>
      </c>
      <c r="M387" s="16" t="s">
        <v>8070</v>
      </c>
      <c r="N387" s="16" t="s">
        <v>17</v>
      </c>
      <c r="O387" s="16" t="s">
        <v>6921</v>
      </c>
      <c r="P387" s="16" t="s">
        <v>17</v>
      </c>
      <c r="Q387" s="16" t="s">
        <v>6922</v>
      </c>
      <c r="R387" s="16" t="s">
        <v>6923</v>
      </c>
      <c r="S387" s="16" t="s">
        <v>17</v>
      </c>
      <c r="T387" s="16" t="s">
        <v>7827</v>
      </c>
      <c r="U387" s="16" t="s">
        <v>17</v>
      </c>
      <c r="V387" s="16" t="s">
        <v>7027</v>
      </c>
      <c r="W387" s="16" t="s">
        <v>17</v>
      </c>
      <c r="X387" s="16" t="s">
        <v>8070</v>
      </c>
      <c r="Y387" s="16" t="s">
        <v>17</v>
      </c>
      <c r="Z387" s="16" t="s">
        <v>6926</v>
      </c>
    </row>
    <row r="388" spans="1:26" x14ac:dyDescent="0.3">
      <c r="A388" s="16">
        <v>387</v>
      </c>
      <c r="B388" s="16" t="s">
        <v>7053</v>
      </c>
      <c r="C388" s="17">
        <v>9780071410373</v>
      </c>
      <c r="D388" s="17">
        <v>9780071410373</v>
      </c>
      <c r="E388" s="16" t="s">
        <v>7054</v>
      </c>
      <c r="F388" s="16" t="s">
        <v>17</v>
      </c>
      <c r="G388" s="16" t="s">
        <v>17</v>
      </c>
      <c r="H388" s="16" t="s">
        <v>17</v>
      </c>
      <c r="I388" s="16" t="s">
        <v>17</v>
      </c>
      <c r="J388" s="16" t="s">
        <v>17</v>
      </c>
      <c r="K388" s="16" t="s">
        <v>117</v>
      </c>
      <c r="L388" s="16" t="s">
        <v>17</v>
      </c>
      <c r="M388" s="16" t="s">
        <v>7053</v>
      </c>
      <c r="N388" s="16" t="s">
        <v>17</v>
      </c>
      <c r="O388" s="16" t="s">
        <v>6921</v>
      </c>
      <c r="P388" s="16" t="s">
        <v>17</v>
      </c>
      <c r="Q388" s="16" t="s">
        <v>6922</v>
      </c>
      <c r="R388" s="16" t="s">
        <v>6923</v>
      </c>
      <c r="S388" s="16" t="s">
        <v>17</v>
      </c>
      <c r="T388" s="16" t="s">
        <v>7054</v>
      </c>
      <c r="U388" s="16" t="s">
        <v>17</v>
      </c>
      <c r="V388" s="16" t="s">
        <v>6929</v>
      </c>
      <c r="W388" s="16" t="s">
        <v>7055</v>
      </c>
      <c r="X388" s="16" t="s">
        <v>7053</v>
      </c>
      <c r="Y388" s="16" t="s">
        <v>17</v>
      </c>
      <c r="Z388" s="16" t="s">
        <v>6926</v>
      </c>
    </row>
    <row r="389" spans="1:26" x14ac:dyDescent="0.3">
      <c r="A389" s="16">
        <v>388</v>
      </c>
      <c r="B389" s="16" t="s">
        <v>7002</v>
      </c>
      <c r="C389" s="17">
        <v>9780071360661</v>
      </c>
      <c r="D389" s="17">
        <v>9780071360661</v>
      </c>
      <c r="E389" s="16" t="s">
        <v>6920</v>
      </c>
      <c r="F389" s="16" t="s">
        <v>17</v>
      </c>
      <c r="G389" s="16" t="s">
        <v>17</v>
      </c>
      <c r="H389" s="16" t="s">
        <v>17</v>
      </c>
      <c r="I389" s="16" t="s">
        <v>17</v>
      </c>
      <c r="J389" s="16" t="s">
        <v>17</v>
      </c>
      <c r="K389" s="16" t="s">
        <v>74</v>
      </c>
      <c r="L389" s="16" t="s">
        <v>7003</v>
      </c>
      <c r="M389" s="16" t="s">
        <v>7002</v>
      </c>
      <c r="N389" s="16" t="s">
        <v>17</v>
      </c>
      <c r="O389" s="16" t="s">
        <v>6921</v>
      </c>
      <c r="P389" s="16" t="s">
        <v>17</v>
      </c>
      <c r="Q389" s="16" t="s">
        <v>6922</v>
      </c>
      <c r="R389" s="16" t="s">
        <v>6923</v>
      </c>
      <c r="S389" s="16" t="s">
        <v>17</v>
      </c>
      <c r="T389" s="16" t="s">
        <v>6920</v>
      </c>
      <c r="U389" s="16" t="s">
        <v>17</v>
      </c>
      <c r="V389" s="16" t="s">
        <v>6929</v>
      </c>
      <c r="W389" s="16" t="s">
        <v>17</v>
      </c>
      <c r="X389" s="16" t="s">
        <v>7002</v>
      </c>
      <c r="Y389" s="16" t="s">
        <v>17</v>
      </c>
      <c r="Z389" s="16" t="s">
        <v>6926</v>
      </c>
    </row>
    <row r="390" spans="1:26" x14ac:dyDescent="0.3">
      <c r="A390" s="16">
        <v>389</v>
      </c>
      <c r="B390" s="16" t="s">
        <v>7499</v>
      </c>
      <c r="C390" s="17">
        <v>9780071458863</v>
      </c>
      <c r="D390" s="17">
        <v>9780071458863</v>
      </c>
      <c r="E390" s="16" t="s">
        <v>6920</v>
      </c>
      <c r="F390" s="16" t="s">
        <v>17</v>
      </c>
      <c r="G390" s="16" t="s">
        <v>17</v>
      </c>
      <c r="H390" s="16" t="s">
        <v>17</v>
      </c>
      <c r="I390" s="16" t="s">
        <v>17</v>
      </c>
      <c r="J390" s="16" t="s">
        <v>17</v>
      </c>
      <c r="K390" s="16" t="s">
        <v>509</v>
      </c>
      <c r="L390" s="16" t="s">
        <v>7498</v>
      </c>
      <c r="M390" s="16" t="s">
        <v>7499</v>
      </c>
      <c r="N390" s="16" t="s">
        <v>17</v>
      </c>
      <c r="O390" s="16" t="s">
        <v>6921</v>
      </c>
      <c r="P390" s="16" t="s">
        <v>17</v>
      </c>
      <c r="Q390" s="16" t="s">
        <v>6922</v>
      </c>
      <c r="R390" s="16" t="s">
        <v>6923</v>
      </c>
      <c r="S390" s="16" t="s">
        <v>17</v>
      </c>
      <c r="T390" s="16" t="s">
        <v>6920</v>
      </c>
      <c r="U390" s="16" t="s">
        <v>17</v>
      </c>
      <c r="V390" s="16" t="s">
        <v>6924</v>
      </c>
      <c r="W390" s="16" t="s">
        <v>17</v>
      </c>
      <c r="X390" s="16" t="s">
        <v>7499</v>
      </c>
      <c r="Y390" s="16" t="s">
        <v>17</v>
      </c>
      <c r="Z390" s="16" t="s">
        <v>6926</v>
      </c>
    </row>
    <row r="391" spans="1:26" x14ac:dyDescent="0.3">
      <c r="A391" s="16">
        <v>390</v>
      </c>
      <c r="B391" s="16" t="s">
        <v>8081</v>
      </c>
      <c r="C391" s="17">
        <v>9781260441437</v>
      </c>
      <c r="D391" s="17">
        <v>9781260441437</v>
      </c>
      <c r="E391" s="16" t="s">
        <v>7435</v>
      </c>
      <c r="F391" s="16" t="s">
        <v>17</v>
      </c>
      <c r="G391" s="16" t="s">
        <v>17</v>
      </c>
      <c r="H391" s="16" t="s">
        <v>17</v>
      </c>
      <c r="I391" s="16" t="s">
        <v>17</v>
      </c>
      <c r="J391" s="16" t="s">
        <v>17</v>
      </c>
      <c r="K391" s="16" t="s">
        <v>1171</v>
      </c>
      <c r="L391" s="16" t="s">
        <v>17</v>
      </c>
      <c r="M391" s="16" t="s">
        <v>8081</v>
      </c>
      <c r="N391" s="16" t="s">
        <v>17</v>
      </c>
      <c r="O391" s="16" t="s">
        <v>6921</v>
      </c>
      <c r="P391" s="16" t="s">
        <v>17</v>
      </c>
      <c r="Q391" s="16" t="s">
        <v>6922</v>
      </c>
      <c r="R391" s="16" t="s">
        <v>6923</v>
      </c>
      <c r="S391" s="16" t="s">
        <v>17</v>
      </c>
      <c r="T391" s="16" t="s">
        <v>7435</v>
      </c>
      <c r="U391" s="16" t="s">
        <v>17</v>
      </c>
      <c r="V391" s="16" t="s">
        <v>6949</v>
      </c>
      <c r="W391" s="16" t="s">
        <v>8082</v>
      </c>
      <c r="X391" s="16" t="s">
        <v>8081</v>
      </c>
      <c r="Y391" s="16" t="s">
        <v>17</v>
      </c>
      <c r="Z391" s="16" t="s">
        <v>6926</v>
      </c>
    </row>
    <row r="392" spans="1:26" x14ac:dyDescent="0.3">
      <c r="A392" s="16">
        <v>391</v>
      </c>
      <c r="B392" s="16" t="s">
        <v>1461</v>
      </c>
      <c r="C392" s="17">
        <v>9780071777148</v>
      </c>
      <c r="D392" s="17">
        <v>9780071777148</v>
      </c>
      <c r="E392" s="16" t="s">
        <v>8037</v>
      </c>
      <c r="F392" s="16" t="s">
        <v>17</v>
      </c>
      <c r="G392" s="16" t="s">
        <v>17</v>
      </c>
      <c r="H392" s="16" t="s">
        <v>17</v>
      </c>
      <c r="I392" s="16" t="s">
        <v>17</v>
      </c>
      <c r="J392" s="16" t="s">
        <v>17</v>
      </c>
      <c r="K392" s="16" t="s">
        <v>1462</v>
      </c>
      <c r="L392" s="16" t="s">
        <v>1170</v>
      </c>
      <c r="M392" s="16" t="s">
        <v>1461</v>
      </c>
      <c r="N392" s="16" t="s">
        <v>17</v>
      </c>
      <c r="O392" s="16" t="s">
        <v>6921</v>
      </c>
      <c r="P392" s="16" t="s">
        <v>17</v>
      </c>
      <c r="Q392" s="16" t="s">
        <v>6922</v>
      </c>
      <c r="R392" s="16" t="s">
        <v>6923</v>
      </c>
      <c r="S392" s="16" t="s">
        <v>17</v>
      </c>
      <c r="T392" s="16" t="s">
        <v>8037</v>
      </c>
      <c r="U392" s="16" t="s">
        <v>17</v>
      </c>
      <c r="V392" s="16" t="s">
        <v>7384</v>
      </c>
      <c r="W392" s="16" t="s">
        <v>17</v>
      </c>
      <c r="X392" s="16" t="s">
        <v>1461</v>
      </c>
      <c r="Y392" s="16" t="s">
        <v>17</v>
      </c>
      <c r="Z392" s="16" t="s">
        <v>6926</v>
      </c>
    </row>
    <row r="393" spans="1:26" x14ac:dyDescent="0.3">
      <c r="A393" s="16">
        <v>392</v>
      </c>
      <c r="B393" s="16" t="s">
        <v>7243</v>
      </c>
      <c r="C393" s="17">
        <v>9780071498890</v>
      </c>
      <c r="D393" s="17">
        <v>9780071498890</v>
      </c>
      <c r="E393" s="16" t="s">
        <v>7244</v>
      </c>
      <c r="F393" s="16" t="s">
        <v>17</v>
      </c>
      <c r="G393" s="16" t="s">
        <v>17</v>
      </c>
      <c r="H393" s="16" t="s">
        <v>17</v>
      </c>
      <c r="I393" s="16" t="s">
        <v>17</v>
      </c>
      <c r="J393" s="16" t="s">
        <v>17</v>
      </c>
      <c r="K393" s="16" t="s">
        <v>276</v>
      </c>
      <c r="L393" s="16" t="s">
        <v>17</v>
      </c>
      <c r="M393" s="16" t="s">
        <v>7243</v>
      </c>
      <c r="N393" s="16" t="s">
        <v>17</v>
      </c>
      <c r="O393" s="16" t="s">
        <v>6921</v>
      </c>
      <c r="P393" s="16" t="s">
        <v>17</v>
      </c>
      <c r="Q393" s="16" t="s">
        <v>6922</v>
      </c>
      <c r="R393" s="16" t="s">
        <v>6923</v>
      </c>
      <c r="S393" s="16" t="s">
        <v>17</v>
      </c>
      <c r="T393" s="16" t="s">
        <v>7244</v>
      </c>
      <c r="U393" s="16" t="s">
        <v>17</v>
      </c>
      <c r="V393" s="16" t="s">
        <v>6949</v>
      </c>
      <c r="W393" s="16" t="s">
        <v>178</v>
      </c>
      <c r="X393" s="16" t="s">
        <v>7243</v>
      </c>
      <c r="Y393" s="16" t="s">
        <v>17</v>
      </c>
      <c r="Z393" s="16" t="s">
        <v>6926</v>
      </c>
    </row>
    <row r="394" spans="1:26" x14ac:dyDescent="0.3">
      <c r="A394" s="16">
        <v>393</v>
      </c>
      <c r="B394" s="16" t="s">
        <v>6988</v>
      </c>
      <c r="C394" s="17">
        <v>9780071498906</v>
      </c>
      <c r="D394" s="17">
        <v>9780071498906</v>
      </c>
      <c r="E394" s="16" t="s">
        <v>6989</v>
      </c>
      <c r="F394" s="16" t="s">
        <v>17</v>
      </c>
      <c r="G394" s="16" t="s">
        <v>17</v>
      </c>
      <c r="H394" s="16" t="s">
        <v>17</v>
      </c>
      <c r="I394" s="16" t="s">
        <v>17</v>
      </c>
      <c r="J394" s="16" t="s">
        <v>17</v>
      </c>
      <c r="K394" s="16" t="s">
        <v>6893</v>
      </c>
      <c r="L394" s="16" t="s">
        <v>17</v>
      </c>
      <c r="M394" s="16" t="s">
        <v>6988</v>
      </c>
      <c r="N394" s="16" t="s">
        <v>17</v>
      </c>
      <c r="O394" s="16" t="s">
        <v>6921</v>
      </c>
      <c r="P394" s="16" t="s">
        <v>17</v>
      </c>
      <c r="Q394" s="16" t="s">
        <v>6922</v>
      </c>
      <c r="R394" s="16" t="s">
        <v>6923</v>
      </c>
      <c r="S394" s="16" t="s">
        <v>17</v>
      </c>
      <c r="T394" s="16" t="s">
        <v>6989</v>
      </c>
      <c r="U394" s="16" t="s">
        <v>17</v>
      </c>
      <c r="V394" s="16" t="s">
        <v>6949</v>
      </c>
      <c r="W394" s="16" t="s">
        <v>178</v>
      </c>
      <c r="X394" s="16" t="s">
        <v>6988</v>
      </c>
      <c r="Y394" s="16" t="s">
        <v>17</v>
      </c>
      <c r="Z394" s="16" t="s">
        <v>6926</v>
      </c>
    </row>
    <row r="395" spans="1:26" x14ac:dyDescent="0.3">
      <c r="A395" s="16">
        <v>394</v>
      </c>
      <c r="B395" s="16" t="s">
        <v>7121</v>
      </c>
      <c r="C395" s="17">
        <v>9780071498913</v>
      </c>
      <c r="D395" s="17">
        <v>9780071498913</v>
      </c>
      <c r="E395" s="16" t="s">
        <v>7118</v>
      </c>
      <c r="F395" s="16" t="s">
        <v>17</v>
      </c>
      <c r="G395" s="16" t="s">
        <v>17</v>
      </c>
      <c r="H395" s="16" t="s">
        <v>17</v>
      </c>
      <c r="I395" s="16" t="s">
        <v>17</v>
      </c>
      <c r="J395" s="16" t="s">
        <v>17</v>
      </c>
      <c r="K395" s="16" t="s">
        <v>181</v>
      </c>
      <c r="L395" s="16" t="s">
        <v>17</v>
      </c>
      <c r="M395" s="16" t="s">
        <v>7121</v>
      </c>
      <c r="N395" s="16" t="s">
        <v>17</v>
      </c>
      <c r="O395" s="16" t="s">
        <v>6921</v>
      </c>
      <c r="P395" s="16" t="s">
        <v>17</v>
      </c>
      <c r="Q395" s="16" t="s">
        <v>6922</v>
      </c>
      <c r="R395" s="16" t="s">
        <v>6923</v>
      </c>
      <c r="S395" s="16" t="s">
        <v>17</v>
      </c>
      <c r="T395" s="16" t="s">
        <v>7118</v>
      </c>
      <c r="U395" s="16" t="s">
        <v>17</v>
      </c>
      <c r="V395" s="16" t="s">
        <v>6949</v>
      </c>
      <c r="W395" s="16" t="s">
        <v>178</v>
      </c>
      <c r="X395" s="16" t="s">
        <v>7121</v>
      </c>
      <c r="Y395" s="16" t="s">
        <v>17</v>
      </c>
      <c r="Z395" s="16" t="s">
        <v>6926</v>
      </c>
    </row>
    <row r="396" spans="1:26" x14ac:dyDescent="0.3">
      <c r="A396" s="16">
        <v>395</v>
      </c>
      <c r="B396" s="16" t="s">
        <v>7117</v>
      </c>
      <c r="C396" s="17">
        <v>9780071498920</v>
      </c>
      <c r="D396" s="17">
        <v>9780071498920</v>
      </c>
      <c r="E396" s="16" t="s">
        <v>7118</v>
      </c>
      <c r="F396" s="16" t="s">
        <v>17</v>
      </c>
      <c r="G396" s="16" t="s">
        <v>17</v>
      </c>
      <c r="H396" s="16" t="s">
        <v>17</v>
      </c>
      <c r="I396" s="16" t="s">
        <v>17</v>
      </c>
      <c r="J396" s="16" t="s">
        <v>17</v>
      </c>
      <c r="K396" s="16" t="s">
        <v>179</v>
      </c>
      <c r="L396" s="16" t="s">
        <v>17</v>
      </c>
      <c r="M396" s="16" t="s">
        <v>7117</v>
      </c>
      <c r="N396" s="16" t="s">
        <v>17</v>
      </c>
      <c r="O396" s="16" t="s">
        <v>6921</v>
      </c>
      <c r="P396" s="16" t="s">
        <v>17</v>
      </c>
      <c r="Q396" s="16" t="s">
        <v>6922</v>
      </c>
      <c r="R396" s="16" t="s">
        <v>6923</v>
      </c>
      <c r="S396" s="16" t="s">
        <v>17</v>
      </c>
      <c r="T396" s="16" t="s">
        <v>7118</v>
      </c>
      <c r="U396" s="16" t="s">
        <v>17</v>
      </c>
      <c r="V396" s="16" t="s">
        <v>6949</v>
      </c>
      <c r="W396" s="16" t="s">
        <v>178</v>
      </c>
      <c r="X396" s="16" t="s">
        <v>7117</v>
      </c>
      <c r="Y396" s="16" t="s">
        <v>17</v>
      </c>
      <c r="Z396" s="16" t="s">
        <v>6926</v>
      </c>
    </row>
    <row r="397" spans="1:26" x14ac:dyDescent="0.3">
      <c r="A397" s="16">
        <v>396</v>
      </c>
      <c r="B397" s="16" t="s">
        <v>7596</v>
      </c>
      <c r="C397" s="17">
        <v>9780071633130</v>
      </c>
      <c r="D397" s="17">
        <v>9780071633130</v>
      </c>
      <c r="E397" s="16" t="s">
        <v>6989</v>
      </c>
      <c r="F397" s="16" t="s">
        <v>17</v>
      </c>
      <c r="G397" s="16" t="s">
        <v>17</v>
      </c>
      <c r="H397" s="16" t="s">
        <v>17</v>
      </c>
      <c r="I397" s="16" t="s">
        <v>17</v>
      </c>
      <c r="J397" s="16" t="s">
        <v>17</v>
      </c>
      <c r="K397" s="16" t="s">
        <v>590</v>
      </c>
      <c r="L397" s="16" t="s">
        <v>17</v>
      </c>
      <c r="M397" s="16" t="s">
        <v>7596</v>
      </c>
      <c r="N397" s="16" t="s">
        <v>17</v>
      </c>
      <c r="O397" s="16" t="s">
        <v>6921</v>
      </c>
      <c r="P397" s="16" t="s">
        <v>17</v>
      </c>
      <c r="Q397" s="16" t="s">
        <v>6922</v>
      </c>
      <c r="R397" s="16" t="s">
        <v>6923</v>
      </c>
      <c r="S397" s="16" t="s">
        <v>17</v>
      </c>
      <c r="T397" s="16" t="s">
        <v>6989</v>
      </c>
      <c r="U397" s="16" t="s">
        <v>17</v>
      </c>
      <c r="V397" s="16" t="s">
        <v>6949</v>
      </c>
      <c r="W397" s="16" t="s">
        <v>178</v>
      </c>
      <c r="X397" s="16" t="s">
        <v>7596</v>
      </c>
      <c r="Y397" s="16" t="s">
        <v>17</v>
      </c>
      <c r="Z397" s="16" t="s">
        <v>6926</v>
      </c>
    </row>
    <row r="398" spans="1:26" x14ac:dyDescent="0.3">
      <c r="A398" s="16">
        <v>397</v>
      </c>
      <c r="B398" s="16" t="s">
        <v>1523</v>
      </c>
      <c r="C398" s="17">
        <v>9781259643132</v>
      </c>
      <c r="D398" s="17">
        <v>9781259643132</v>
      </c>
      <c r="E398" s="16" t="s">
        <v>7377</v>
      </c>
      <c r="F398" s="16" t="s">
        <v>17</v>
      </c>
      <c r="G398" s="16" t="s">
        <v>17</v>
      </c>
      <c r="H398" s="16" t="s">
        <v>17</v>
      </c>
      <c r="I398" s="16" t="s">
        <v>17</v>
      </c>
      <c r="J398" s="16" t="s">
        <v>17</v>
      </c>
      <c r="K398" s="16" t="s">
        <v>396</v>
      </c>
      <c r="L398" s="16" t="s">
        <v>7214</v>
      </c>
      <c r="M398" s="16" t="s">
        <v>1523</v>
      </c>
      <c r="N398" s="16" t="s">
        <v>17</v>
      </c>
      <c r="O398" s="16" t="s">
        <v>6921</v>
      </c>
      <c r="P398" s="16" t="s">
        <v>17</v>
      </c>
      <c r="Q398" s="16" t="s">
        <v>6922</v>
      </c>
      <c r="R398" s="16" t="s">
        <v>6923</v>
      </c>
      <c r="S398" s="16" t="s">
        <v>17</v>
      </c>
      <c r="T398" s="16" t="s">
        <v>7377</v>
      </c>
      <c r="U398" s="16" t="s">
        <v>17</v>
      </c>
      <c r="V398" s="16" t="s">
        <v>6924</v>
      </c>
      <c r="W398" s="16" t="s">
        <v>17</v>
      </c>
      <c r="X398" s="16" t="s">
        <v>1523</v>
      </c>
      <c r="Y398" s="16" t="s">
        <v>17</v>
      </c>
      <c r="Z398" s="16" t="s">
        <v>6926</v>
      </c>
    </row>
    <row r="399" spans="1:26" x14ac:dyDescent="0.3">
      <c r="A399" s="16">
        <v>398</v>
      </c>
      <c r="B399" s="16" t="s">
        <v>1523</v>
      </c>
      <c r="C399" s="17">
        <v>9780071410427</v>
      </c>
      <c r="D399" s="17">
        <v>9780071410427</v>
      </c>
      <c r="E399" s="16" t="s">
        <v>7178</v>
      </c>
      <c r="F399" s="16" t="s">
        <v>17</v>
      </c>
      <c r="G399" s="16" t="s">
        <v>17</v>
      </c>
      <c r="H399" s="16" t="s">
        <v>17</v>
      </c>
      <c r="I399" s="16" t="s">
        <v>17</v>
      </c>
      <c r="J399" s="16" t="s">
        <v>17</v>
      </c>
      <c r="K399" s="16" t="s">
        <v>1524</v>
      </c>
      <c r="L399" s="16" t="s">
        <v>1456</v>
      </c>
      <c r="M399" s="16" t="s">
        <v>1523</v>
      </c>
      <c r="N399" s="16" t="s">
        <v>17</v>
      </c>
      <c r="O399" s="16" t="s">
        <v>6921</v>
      </c>
      <c r="P399" s="16" t="s">
        <v>17</v>
      </c>
      <c r="Q399" s="16" t="s">
        <v>6922</v>
      </c>
      <c r="R399" s="16" t="s">
        <v>6923</v>
      </c>
      <c r="S399" s="16" t="s">
        <v>17</v>
      </c>
      <c r="T399" s="16" t="s">
        <v>7178</v>
      </c>
      <c r="U399" s="16" t="s">
        <v>17</v>
      </c>
      <c r="V399" s="16" t="s">
        <v>7049</v>
      </c>
      <c r="W399" s="16" t="s">
        <v>17</v>
      </c>
      <c r="X399" s="16" t="s">
        <v>1523</v>
      </c>
      <c r="Y399" s="16" t="s">
        <v>17</v>
      </c>
      <c r="Z399" s="16" t="s">
        <v>6926</v>
      </c>
    </row>
    <row r="400" spans="1:26" x14ac:dyDescent="0.3">
      <c r="A400" s="16">
        <v>399</v>
      </c>
      <c r="B400" s="16" t="s">
        <v>7212</v>
      </c>
      <c r="C400" s="17">
        <v>9780071850490</v>
      </c>
      <c r="D400" s="17">
        <v>9780071850490</v>
      </c>
      <c r="E400" s="16" t="s">
        <v>7213</v>
      </c>
      <c r="F400" s="16" t="s">
        <v>17</v>
      </c>
      <c r="G400" s="16" t="s">
        <v>17</v>
      </c>
      <c r="H400" s="16" t="s">
        <v>17</v>
      </c>
      <c r="I400" s="16" t="s">
        <v>17</v>
      </c>
      <c r="J400" s="16" t="s">
        <v>17</v>
      </c>
      <c r="K400" s="16" t="s">
        <v>251</v>
      </c>
      <c r="L400" s="16" t="s">
        <v>17</v>
      </c>
      <c r="M400" s="16" t="s">
        <v>7212</v>
      </c>
      <c r="N400" s="16" t="s">
        <v>17</v>
      </c>
      <c r="O400" s="16" t="s">
        <v>6921</v>
      </c>
      <c r="P400" s="16" t="s">
        <v>17</v>
      </c>
      <c r="Q400" s="16" t="s">
        <v>6922</v>
      </c>
      <c r="R400" s="16" t="s">
        <v>6923</v>
      </c>
      <c r="S400" s="16" t="s">
        <v>17</v>
      </c>
      <c r="T400" s="16" t="s">
        <v>7213</v>
      </c>
      <c r="U400" s="16" t="s">
        <v>17</v>
      </c>
      <c r="V400" s="16" t="s">
        <v>7024</v>
      </c>
      <c r="W400" s="16" t="s">
        <v>7214</v>
      </c>
      <c r="X400" s="16" t="s">
        <v>7212</v>
      </c>
      <c r="Y400" s="16" t="s">
        <v>17</v>
      </c>
      <c r="Z400" s="16" t="s">
        <v>6926</v>
      </c>
    </row>
    <row r="401" spans="1:26" x14ac:dyDescent="0.3">
      <c r="A401" s="16">
        <v>400</v>
      </c>
      <c r="B401" s="16" t="s">
        <v>8347</v>
      </c>
      <c r="C401" s="17">
        <v>9780071391092</v>
      </c>
      <c r="D401" s="17">
        <v>9780071391092</v>
      </c>
      <c r="E401" s="16" t="s">
        <v>6920</v>
      </c>
      <c r="F401" s="16" t="s">
        <v>17</v>
      </c>
      <c r="G401" s="16" t="s">
        <v>17</v>
      </c>
      <c r="H401" s="16" t="s">
        <v>17</v>
      </c>
      <c r="I401" s="16" t="s">
        <v>17</v>
      </c>
      <c r="J401" s="16" t="s">
        <v>17</v>
      </c>
      <c r="K401" s="16" t="s">
        <v>1457</v>
      </c>
      <c r="L401" s="16" t="s">
        <v>1456</v>
      </c>
      <c r="M401" s="16" t="s">
        <v>8347</v>
      </c>
      <c r="N401" s="16" t="s">
        <v>17</v>
      </c>
      <c r="O401" s="16" t="s">
        <v>6921</v>
      </c>
      <c r="P401" s="16" t="s">
        <v>17</v>
      </c>
      <c r="Q401" s="16" t="s">
        <v>6922</v>
      </c>
      <c r="R401" s="16" t="s">
        <v>6923</v>
      </c>
      <c r="S401" s="16" t="s">
        <v>17</v>
      </c>
      <c r="T401" s="16" t="s">
        <v>6920</v>
      </c>
      <c r="U401" s="16" t="s">
        <v>17</v>
      </c>
      <c r="V401" s="16" t="s">
        <v>7363</v>
      </c>
      <c r="W401" s="16" t="s">
        <v>17</v>
      </c>
      <c r="X401" s="16" t="s">
        <v>8347</v>
      </c>
      <c r="Y401" s="16" t="s">
        <v>17</v>
      </c>
      <c r="Z401" s="16" t="s">
        <v>6926</v>
      </c>
    </row>
    <row r="402" spans="1:26" x14ac:dyDescent="0.3">
      <c r="A402" s="16">
        <v>401</v>
      </c>
      <c r="B402" s="16" t="s">
        <v>7684</v>
      </c>
      <c r="C402" s="17">
        <v>9780071460682</v>
      </c>
      <c r="D402" s="17">
        <v>9780071460682</v>
      </c>
      <c r="E402" s="16" t="s">
        <v>6920</v>
      </c>
      <c r="F402" s="16" t="s">
        <v>17</v>
      </c>
      <c r="G402" s="16" t="s">
        <v>17</v>
      </c>
      <c r="H402" s="16" t="s">
        <v>17</v>
      </c>
      <c r="I402" s="16" t="s">
        <v>17</v>
      </c>
      <c r="J402" s="16" t="s">
        <v>17</v>
      </c>
      <c r="K402" s="16" t="s">
        <v>676</v>
      </c>
      <c r="L402" s="16" t="s">
        <v>17</v>
      </c>
      <c r="M402" s="16" t="s">
        <v>7684</v>
      </c>
      <c r="N402" s="16" t="s">
        <v>17</v>
      </c>
      <c r="O402" s="16" t="s">
        <v>6921</v>
      </c>
      <c r="P402" s="16" t="s">
        <v>17</v>
      </c>
      <c r="Q402" s="16" t="s">
        <v>6922</v>
      </c>
      <c r="R402" s="16" t="s">
        <v>6923</v>
      </c>
      <c r="S402" s="16" t="s">
        <v>17</v>
      </c>
      <c r="T402" s="16" t="s">
        <v>6920</v>
      </c>
      <c r="U402" s="16" t="s">
        <v>17</v>
      </c>
      <c r="V402" s="16" t="s">
        <v>6929</v>
      </c>
      <c r="W402" s="16" t="s">
        <v>7093</v>
      </c>
      <c r="X402" s="16" t="s">
        <v>7684</v>
      </c>
      <c r="Y402" s="16" t="s">
        <v>17</v>
      </c>
      <c r="Z402" s="16" t="s">
        <v>6926</v>
      </c>
    </row>
    <row r="403" spans="1:26" x14ac:dyDescent="0.3">
      <c r="A403" s="16">
        <v>402</v>
      </c>
      <c r="B403" s="16" t="s">
        <v>7248</v>
      </c>
      <c r="C403" s="17">
        <v>9780071384766</v>
      </c>
      <c r="D403" s="17">
        <v>9780071384766</v>
      </c>
      <c r="E403" s="16" t="s">
        <v>6920</v>
      </c>
      <c r="F403" s="16" t="s">
        <v>17</v>
      </c>
      <c r="G403" s="16" t="s">
        <v>17</v>
      </c>
      <c r="H403" s="16" t="s">
        <v>17</v>
      </c>
      <c r="I403" s="16" t="s">
        <v>17</v>
      </c>
      <c r="J403" s="16" t="s">
        <v>17</v>
      </c>
      <c r="K403" s="16" t="s">
        <v>280</v>
      </c>
      <c r="L403" s="16" t="s">
        <v>17</v>
      </c>
      <c r="M403" s="16" t="s">
        <v>7248</v>
      </c>
      <c r="N403" s="16" t="s">
        <v>17</v>
      </c>
      <c r="O403" s="16" t="s">
        <v>6921</v>
      </c>
      <c r="P403" s="16" t="s">
        <v>17</v>
      </c>
      <c r="Q403" s="16" t="s">
        <v>6922</v>
      </c>
      <c r="R403" s="16" t="s">
        <v>6923</v>
      </c>
      <c r="S403" s="16" t="s">
        <v>17</v>
      </c>
      <c r="T403" s="16" t="s">
        <v>6920</v>
      </c>
      <c r="U403" s="16" t="s">
        <v>17</v>
      </c>
      <c r="V403" s="16" t="s">
        <v>7024</v>
      </c>
      <c r="W403" s="16" t="s">
        <v>7093</v>
      </c>
      <c r="X403" s="16" t="s">
        <v>7248</v>
      </c>
      <c r="Y403" s="16" t="s">
        <v>17</v>
      </c>
      <c r="Z403" s="16" t="s">
        <v>6926</v>
      </c>
    </row>
    <row r="404" spans="1:26" x14ac:dyDescent="0.3">
      <c r="A404" s="16">
        <v>403</v>
      </c>
      <c r="B404" s="16" t="s">
        <v>8079</v>
      </c>
      <c r="C404" s="17">
        <v>9780071549745</v>
      </c>
      <c r="D404" s="17">
        <v>9780071549745</v>
      </c>
      <c r="E404" s="16" t="s">
        <v>6920</v>
      </c>
      <c r="F404" s="16" t="s">
        <v>17</v>
      </c>
      <c r="G404" s="16" t="s">
        <v>17</v>
      </c>
      <c r="H404" s="16" t="s">
        <v>17</v>
      </c>
      <c r="I404" s="16" t="s">
        <v>17</v>
      </c>
      <c r="J404" s="16" t="s">
        <v>17</v>
      </c>
      <c r="K404" s="16" t="s">
        <v>1168</v>
      </c>
      <c r="L404" s="16" t="s">
        <v>1167</v>
      </c>
      <c r="M404" s="16" t="s">
        <v>8079</v>
      </c>
      <c r="N404" s="16" t="s">
        <v>17</v>
      </c>
      <c r="O404" s="16" t="s">
        <v>6921</v>
      </c>
      <c r="P404" s="16" t="s">
        <v>17</v>
      </c>
      <c r="Q404" s="16" t="s">
        <v>6922</v>
      </c>
      <c r="R404" s="16" t="s">
        <v>6923</v>
      </c>
      <c r="S404" s="16" t="s">
        <v>17</v>
      </c>
      <c r="T404" s="16" t="s">
        <v>6920</v>
      </c>
      <c r="U404" s="16" t="s">
        <v>17</v>
      </c>
      <c r="V404" s="16" t="s">
        <v>7363</v>
      </c>
      <c r="W404" s="16" t="s">
        <v>17</v>
      </c>
      <c r="X404" s="16" t="s">
        <v>8079</v>
      </c>
      <c r="Y404" s="16" t="s">
        <v>17</v>
      </c>
      <c r="Z404" s="16" t="s">
        <v>6926</v>
      </c>
    </row>
    <row r="405" spans="1:26" x14ac:dyDescent="0.3">
      <c r="A405" s="16">
        <v>404</v>
      </c>
      <c r="B405" s="16" t="s">
        <v>8140</v>
      </c>
      <c r="C405" s="17">
        <v>9780071821780</v>
      </c>
      <c r="D405" s="17">
        <v>9780071821780</v>
      </c>
      <c r="E405" s="16" t="s">
        <v>7185</v>
      </c>
      <c r="F405" s="16" t="s">
        <v>17</v>
      </c>
      <c r="G405" s="16" t="s">
        <v>17</v>
      </c>
      <c r="H405" s="16" t="s">
        <v>17</v>
      </c>
      <c r="I405" s="16" t="s">
        <v>17</v>
      </c>
      <c r="J405" s="16" t="s">
        <v>17</v>
      </c>
      <c r="K405" s="16" t="s">
        <v>1231</v>
      </c>
      <c r="L405" s="16" t="s">
        <v>1230</v>
      </c>
      <c r="M405" s="16" t="s">
        <v>8140</v>
      </c>
      <c r="N405" s="16" t="s">
        <v>17</v>
      </c>
      <c r="O405" s="16" t="s">
        <v>6921</v>
      </c>
      <c r="P405" s="16" t="s">
        <v>17</v>
      </c>
      <c r="Q405" s="16" t="s">
        <v>6922</v>
      </c>
      <c r="R405" s="16" t="s">
        <v>6923</v>
      </c>
      <c r="S405" s="16" t="s">
        <v>17</v>
      </c>
      <c r="T405" s="16" t="s">
        <v>7185</v>
      </c>
      <c r="U405" s="16" t="s">
        <v>17</v>
      </c>
      <c r="V405" s="16" t="s">
        <v>7024</v>
      </c>
      <c r="W405" s="16" t="s">
        <v>17</v>
      </c>
      <c r="X405" s="16" t="s">
        <v>8140</v>
      </c>
      <c r="Y405" s="16" t="s">
        <v>17</v>
      </c>
      <c r="Z405" s="16" t="s">
        <v>6926</v>
      </c>
    </row>
    <row r="406" spans="1:26" x14ac:dyDescent="0.3">
      <c r="A406" s="16">
        <v>405</v>
      </c>
      <c r="B406" s="16" t="s">
        <v>7037</v>
      </c>
      <c r="C406" s="17">
        <v>9780071356237</v>
      </c>
      <c r="D406" s="17">
        <v>9780071356237</v>
      </c>
      <c r="E406" s="16" t="s">
        <v>6920</v>
      </c>
      <c r="F406" s="16" t="s">
        <v>17</v>
      </c>
      <c r="G406" s="16" t="s">
        <v>17</v>
      </c>
      <c r="H406" s="16" t="s">
        <v>17</v>
      </c>
      <c r="I406" s="16" t="s">
        <v>17</v>
      </c>
      <c r="J406" s="16" t="s">
        <v>17</v>
      </c>
      <c r="K406" s="16" t="s">
        <v>104</v>
      </c>
      <c r="L406" s="16" t="s">
        <v>17</v>
      </c>
      <c r="M406" s="16" t="s">
        <v>7037</v>
      </c>
      <c r="N406" s="16" t="s">
        <v>17</v>
      </c>
      <c r="O406" s="16" t="s">
        <v>6921</v>
      </c>
      <c r="P406" s="16" t="s">
        <v>17</v>
      </c>
      <c r="Q406" s="16" t="s">
        <v>6922</v>
      </c>
      <c r="R406" s="16" t="s">
        <v>6923</v>
      </c>
      <c r="S406" s="16" t="s">
        <v>17</v>
      </c>
      <c r="T406" s="16" t="s">
        <v>6920</v>
      </c>
      <c r="U406" s="16" t="s">
        <v>17</v>
      </c>
      <c r="V406" s="16" t="s">
        <v>6924</v>
      </c>
      <c r="W406" s="16" t="s">
        <v>102</v>
      </c>
      <c r="X406" s="16" t="s">
        <v>7037</v>
      </c>
      <c r="Y406" s="16" t="s">
        <v>17</v>
      </c>
      <c r="Z406" s="16" t="s">
        <v>6926</v>
      </c>
    </row>
    <row r="407" spans="1:26" x14ac:dyDescent="0.3">
      <c r="A407" s="16">
        <v>406</v>
      </c>
      <c r="B407" s="16" t="s">
        <v>8295</v>
      </c>
      <c r="C407" s="17">
        <v>9781259585517</v>
      </c>
      <c r="D407" s="17">
        <v>9781259585517</v>
      </c>
      <c r="E407" s="16" t="s">
        <v>8296</v>
      </c>
      <c r="F407" s="16" t="s">
        <v>17</v>
      </c>
      <c r="G407" s="16" t="s">
        <v>17</v>
      </c>
      <c r="H407" s="16" t="s">
        <v>17</v>
      </c>
      <c r="I407" s="16" t="s">
        <v>17</v>
      </c>
      <c r="J407" s="16" t="s">
        <v>17</v>
      </c>
      <c r="K407" s="16" t="s">
        <v>1358</v>
      </c>
      <c r="L407" s="16" t="s">
        <v>8297</v>
      </c>
      <c r="M407" s="16" t="s">
        <v>8295</v>
      </c>
      <c r="N407" s="16" t="s">
        <v>17</v>
      </c>
      <c r="O407" s="16" t="s">
        <v>6921</v>
      </c>
      <c r="P407" s="16" t="s">
        <v>17</v>
      </c>
      <c r="Q407" s="16" t="s">
        <v>6922</v>
      </c>
      <c r="R407" s="16" t="s">
        <v>6923</v>
      </c>
      <c r="S407" s="16" t="s">
        <v>17</v>
      </c>
      <c r="T407" s="16" t="s">
        <v>8296</v>
      </c>
      <c r="U407" s="16" t="s">
        <v>17</v>
      </c>
      <c r="V407" s="16" t="s">
        <v>6949</v>
      </c>
      <c r="W407" s="16" t="s">
        <v>17</v>
      </c>
      <c r="X407" s="16" t="s">
        <v>8295</v>
      </c>
      <c r="Y407" s="16" t="s">
        <v>17</v>
      </c>
      <c r="Z407" s="16" t="s">
        <v>6926</v>
      </c>
    </row>
    <row r="408" spans="1:26" x14ac:dyDescent="0.3">
      <c r="A408" s="16">
        <v>407</v>
      </c>
      <c r="B408" s="16" t="s">
        <v>8354</v>
      </c>
      <c r="C408" s="17">
        <v>9780071550055</v>
      </c>
      <c r="D408" s="17">
        <v>9780071550055</v>
      </c>
      <c r="E408" s="16" t="s">
        <v>6920</v>
      </c>
      <c r="F408" s="16" t="s">
        <v>17</v>
      </c>
      <c r="G408" s="16" t="s">
        <v>17</v>
      </c>
      <c r="H408" s="16" t="s">
        <v>17</v>
      </c>
      <c r="I408" s="16" t="s">
        <v>17</v>
      </c>
      <c r="J408" s="16" t="s">
        <v>17</v>
      </c>
      <c r="K408" s="16" t="s">
        <v>1477</v>
      </c>
      <c r="L408" s="16" t="s">
        <v>1476</v>
      </c>
      <c r="M408" s="16" t="s">
        <v>8354</v>
      </c>
      <c r="N408" s="16" t="s">
        <v>17</v>
      </c>
      <c r="O408" s="16" t="s">
        <v>6921</v>
      </c>
      <c r="P408" s="16" t="s">
        <v>17</v>
      </c>
      <c r="Q408" s="16" t="s">
        <v>6922</v>
      </c>
      <c r="R408" s="16" t="s">
        <v>6923</v>
      </c>
      <c r="S408" s="16" t="s">
        <v>17</v>
      </c>
      <c r="T408" s="16" t="s">
        <v>6920</v>
      </c>
      <c r="U408" s="16" t="s">
        <v>17</v>
      </c>
      <c r="V408" s="16" t="s">
        <v>7480</v>
      </c>
      <c r="W408" s="16" t="s">
        <v>17</v>
      </c>
      <c r="X408" s="16" t="s">
        <v>8354</v>
      </c>
      <c r="Y408" s="16" t="s">
        <v>17</v>
      </c>
      <c r="Z408" s="16" t="s">
        <v>6926</v>
      </c>
    </row>
    <row r="409" spans="1:26" x14ac:dyDescent="0.3">
      <c r="A409" s="16">
        <v>408</v>
      </c>
      <c r="B409" s="16" t="s">
        <v>7572</v>
      </c>
      <c r="C409" s="17">
        <v>9780071476966</v>
      </c>
      <c r="D409" s="17">
        <v>9780071476966</v>
      </c>
      <c r="E409" s="16" t="s">
        <v>6920</v>
      </c>
      <c r="F409" s="16" t="s">
        <v>17</v>
      </c>
      <c r="G409" s="16" t="s">
        <v>17</v>
      </c>
      <c r="H409" s="16" t="s">
        <v>17</v>
      </c>
      <c r="I409" s="16" t="s">
        <v>17</v>
      </c>
      <c r="J409" s="16" t="s">
        <v>17</v>
      </c>
      <c r="K409" s="16" t="s">
        <v>561</v>
      </c>
      <c r="L409" s="16" t="s">
        <v>17</v>
      </c>
      <c r="M409" s="16" t="s">
        <v>7572</v>
      </c>
      <c r="N409" s="16" t="s">
        <v>17</v>
      </c>
      <c r="O409" s="16" t="s">
        <v>6921</v>
      </c>
      <c r="P409" s="16" t="s">
        <v>17</v>
      </c>
      <c r="Q409" s="16" t="s">
        <v>6922</v>
      </c>
      <c r="R409" s="16" t="s">
        <v>6923</v>
      </c>
      <c r="S409" s="16" t="s">
        <v>17</v>
      </c>
      <c r="T409" s="16" t="s">
        <v>6920</v>
      </c>
      <c r="U409" s="16" t="s">
        <v>17</v>
      </c>
      <c r="V409" s="16" t="s">
        <v>6929</v>
      </c>
      <c r="W409" s="16" t="s">
        <v>17</v>
      </c>
      <c r="X409" s="16" t="s">
        <v>7572</v>
      </c>
      <c r="Y409" s="16" t="s">
        <v>17</v>
      </c>
      <c r="Z409" s="16" t="s">
        <v>6926</v>
      </c>
    </row>
    <row r="410" spans="1:26" x14ac:dyDescent="0.3">
      <c r="A410" s="16">
        <v>409</v>
      </c>
      <c r="B410" s="16" t="s">
        <v>7712</v>
      </c>
      <c r="C410" s="17">
        <v>9780071614924</v>
      </c>
      <c r="D410" s="17">
        <v>9780071614924</v>
      </c>
      <c r="E410" s="16" t="s">
        <v>7700</v>
      </c>
      <c r="F410" s="16" t="s">
        <v>17</v>
      </c>
      <c r="G410" s="16" t="s">
        <v>17</v>
      </c>
      <c r="H410" s="16" t="s">
        <v>17</v>
      </c>
      <c r="I410" s="16" t="s">
        <v>17</v>
      </c>
      <c r="J410" s="16" t="s">
        <v>17</v>
      </c>
      <c r="K410" s="16" t="s">
        <v>697</v>
      </c>
      <c r="L410" s="16" t="s">
        <v>17</v>
      </c>
      <c r="M410" s="16" t="s">
        <v>7712</v>
      </c>
      <c r="N410" s="16" t="s">
        <v>17</v>
      </c>
      <c r="O410" s="16" t="s">
        <v>6921</v>
      </c>
      <c r="P410" s="16" t="s">
        <v>17</v>
      </c>
      <c r="Q410" s="16" t="s">
        <v>6922</v>
      </c>
      <c r="R410" s="16" t="s">
        <v>6923</v>
      </c>
      <c r="S410" s="16" t="s">
        <v>17</v>
      </c>
      <c r="T410" s="16" t="s">
        <v>7700</v>
      </c>
      <c r="U410" s="16" t="s">
        <v>17</v>
      </c>
      <c r="V410" s="16" t="s">
        <v>6924</v>
      </c>
      <c r="W410" s="16" t="s">
        <v>182</v>
      </c>
      <c r="X410" s="16" t="s">
        <v>7712</v>
      </c>
      <c r="Y410" s="16" t="s">
        <v>17</v>
      </c>
      <c r="Z410" s="16" t="s">
        <v>6926</v>
      </c>
    </row>
    <row r="411" spans="1:26" x14ac:dyDescent="0.3">
      <c r="A411" s="16">
        <v>410</v>
      </c>
      <c r="B411" s="16" t="s">
        <v>231</v>
      </c>
      <c r="C411" s="17">
        <v>9780071614771</v>
      </c>
      <c r="D411" s="17">
        <v>9780071614771</v>
      </c>
      <c r="E411" s="16" t="s">
        <v>7182</v>
      </c>
      <c r="F411" s="16" t="s">
        <v>17</v>
      </c>
      <c r="G411" s="16" t="s">
        <v>17</v>
      </c>
      <c r="H411" s="16" t="s">
        <v>17</v>
      </c>
      <c r="I411" s="16" t="s">
        <v>17</v>
      </c>
      <c r="J411" s="16" t="s">
        <v>17</v>
      </c>
      <c r="K411" s="16" t="s">
        <v>232</v>
      </c>
      <c r="L411" s="16" t="s">
        <v>182</v>
      </c>
      <c r="M411" s="16" t="s">
        <v>231</v>
      </c>
      <c r="N411" s="16" t="s">
        <v>17</v>
      </c>
      <c r="O411" s="16" t="s">
        <v>6921</v>
      </c>
      <c r="P411" s="16" t="s">
        <v>17</v>
      </c>
      <c r="Q411" s="16" t="s">
        <v>6922</v>
      </c>
      <c r="R411" s="16" t="s">
        <v>6923</v>
      </c>
      <c r="S411" s="16" t="s">
        <v>17</v>
      </c>
      <c r="T411" s="16" t="s">
        <v>7182</v>
      </c>
      <c r="U411" s="16" t="s">
        <v>17</v>
      </c>
      <c r="V411" s="16" t="s">
        <v>7183</v>
      </c>
      <c r="W411" s="16" t="s">
        <v>17</v>
      </c>
      <c r="X411" s="16" t="s">
        <v>231</v>
      </c>
      <c r="Y411" s="16" t="s">
        <v>17</v>
      </c>
      <c r="Z411" s="16" t="s">
        <v>6926</v>
      </c>
    </row>
    <row r="412" spans="1:26" x14ac:dyDescent="0.3">
      <c r="A412" s="16">
        <v>411</v>
      </c>
      <c r="B412" s="16" t="s">
        <v>7967</v>
      </c>
      <c r="C412" s="17">
        <v>9781259644344</v>
      </c>
      <c r="D412" s="17">
        <v>9781259644344</v>
      </c>
      <c r="E412" s="16" t="s">
        <v>7968</v>
      </c>
      <c r="F412" s="16" t="s">
        <v>17</v>
      </c>
      <c r="G412" s="16" t="s">
        <v>17</v>
      </c>
      <c r="H412" s="16" t="s">
        <v>17</v>
      </c>
      <c r="I412" s="16" t="s">
        <v>17</v>
      </c>
      <c r="J412" s="16" t="s">
        <v>17</v>
      </c>
      <c r="K412" s="16" t="s">
        <v>1003</v>
      </c>
      <c r="L412" s="16" t="s">
        <v>7969</v>
      </c>
      <c r="M412" s="16" t="s">
        <v>7967</v>
      </c>
      <c r="N412" s="16" t="s">
        <v>17</v>
      </c>
      <c r="O412" s="16" t="s">
        <v>6921</v>
      </c>
      <c r="P412" s="16" t="s">
        <v>17</v>
      </c>
      <c r="Q412" s="16" t="s">
        <v>6922</v>
      </c>
      <c r="R412" s="16" t="s">
        <v>6923</v>
      </c>
      <c r="S412" s="16" t="s">
        <v>17</v>
      </c>
      <c r="T412" s="16" t="s">
        <v>7968</v>
      </c>
      <c r="U412" s="16" t="s">
        <v>17</v>
      </c>
      <c r="V412" s="16" t="s">
        <v>6929</v>
      </c>
      <c r="W412" s="16" t="s">
        <v>17</v>
      </c>
      <c r="X412" s="16" t="s">
        <v>7967</v>
      </c>
      <c r="Y412" s="16" t="s">
        <v>17</v>
      </c>
      <c r="Z412" s="16" t="s">
        <v>6926</v>
      </c>
    </row>
    <row r="413" spans="1:26" x14ac:dyDescent="0.3">
      <c r="A413" s="16">
        <v>412</v>
      </c>
      <c r="B413" s="16" t="s">
        <v>7621</v>
      </c>
      <c r="C413" s="17">
        <v>9780071545815</v>
      </c>
      <c r="D413" s="17">
        <v>9780071545815</v>
      </c>
      <c r="E413" s="16" t="s">
        <v>6920</v>
      </c>
      <c r="F413" s="16" t="s">
        <v>17</v>
      </c>
      <c r="G413" s="16" t="s">
        <v>17</v>
      </c>
      <c r="H413" s="16" t="s">
        <v>17</v>
      </c>
      <c r="I413" s="16" t="s">
        <v>17</v>
      </c>
      <c r="J413" s="16" t="s">
        <v>17</v>
      </c>
      <c r="K413" s="16" t="s">
        <v>613</v>
      </c>
      <c r="L413" s="16" t="s">
        <v>612</v>
      </c>
      <c r="M413" s="16" t="s">
        <v>7621</v>
      </c>
      <c r="N413" s="16" t="s">
        <v>17</v>
      </c>
      <c r="O413" s="16" t="s">
        <v>6921</v>
      </c>
      <c r="P413" s="16" t="s">
        <v>17</v>
      </c>
      <c r="Q413" s="16" t="s">
        <v>6922</v>
      </c>
      <c r="R413" s="16" t="s">
        <v>6923</v>
      </c>
      <c r="S413" s="16" t="s">
        <v>17</v>
      </c>
      <c r="T413" s="16" t="s">
        <v>6920</v>
      </c>
      <c r="U413" s="16" t="s">
        <v>17</v>
      </c>
      <c r="V413" s="16" t="s">
        <v>6929</v>
      </c>
      <c r="W413" s="16" t="s">
        <v>17</v>
      </c>
      <c r="X413" s="16" t="s">
        <v>7621</v>
      </c>
      <c r="Y413" s="16" t="s">
        <v>17</v>
      </c>
      <c r="Z413" s="16" t="s">
        <v>6926</v>
      </c>
    </row>
    <row r="414" spans="1:26" x14ac:dyDescent="0.3">
      <c r="A414" s="16">
        <v>413</v>
      </c>
      <c r="B414" s="16" t="s">
        <v>7071</v>
      </c>
      <c r="C414" s="17">
        <v>9780071508193</v>
      </c>
      <c r="D414" s="17">
        <v>9780071508193</v>
      </c>
      <c r="E414" s="16" t="s">
        <v>6920</v>
      </c>
      <c r="F414" s="16" t="s">
        <v>17</v>
      </c>
      <c r="G414" s="16" t="s">
        <v>17</v>
      </c>
      <c r="H414" s="16" t="s">
        <v>17</v>
      </c>
      <c r="I414" s="16" t="s">
        <v>17</v>
      </c>
      <c r="J414" s="16" t="s">
        <v>17</v>
      </c>
      <c r="K414" s="16" t="s">
        <v>133</v>
      </c>
      <c r="L414" s="16" t="s">
        <v>17</v>
      </c>
      <c r="M414" s="16" t="s">
        <v>7071</v>
      </c>
      <c r="N414" s="16" t="s">
        <v>17</v>
      </c>
      <c r="O414" s="16" t="s">
        <v>6921</v>
      </c>
      <c r="P414" s="16" t="s">
        <v>17</v>
      </c>
      <c r="Q414" s="16" t="s">
        <v>6922</v>
      </c>
      <c r="R414" s="16" t="s">
        <v>6923</v>
      </c>
      <c r="S414" s="16" t="s">
        <v>17</v>
      </c>
      <c r="T414" s="16" t="s">
        <v>6920</v>
      </c>
      <c r="U414" s="16" t="s">
        <v>17</v>
      </c>
      <c r="V414" s="16" t="s">
        <v>7072</v>
      </c>
      <c r="W414" s="16" t="s">
        <v>7073</v>
      </c>
      <c r="X414" s="16" t="s">
        <v>7071</v>
      </c>
      <c r="Y414" s="16" t="s">
        <v>17</v>
      </c>
      <c r="Z414" s="16" t="s">
        <v>6926</v>
      </c>
    </row>
    <row r="415" spans="1:26" x14ac:dyDescent="0.3">
      <c r="A415" s="16">
        <v>414</v>
      </c>
      <c r="B415" s="16" t="s">
        <v>7760</v>
      </c>
      <c r="C415" s="17">
        <v>9781264266678</v>
      </c>
      <c r="D415" s="17">
        <v>9781264266678</v>
      </c>
      <c r="E415" s="16" t="s">
        <v>7761</v>
      </c>
      <c r="F415" s="16" t="s">
        <v>17</v>
      </c>
      <c r="G415" s="16" t="s">
        <v>17</v>
      </c>
      <c r="H415" s="16" t="s">
        <v>17</v>
      </c>
      <c r="I415" s="16" t="s">
        <v>17</v>
      </c>
      <c r="J415" s="16" t="s">
        <v>17</v>
      </c>
      <c r="K415" s="16" t="s">
        <v>741</v>
      </c>
      <c r="L415" s="16" t="s">
        <v>739</v>
      </c>
      <c r="M415" s="16" t="s">
        <v>7760</v>
      </c>
      <c r="N415" s="16" t="s">
        <v>17</v>
      </c>
      <c r="O415" s="16" t="s">
        <v>6921</v>
      </c>
      <c r="P415" s="16" t="s">
        <v>17</v>
      </c>
      <c r="Q415" s="16" t="s">
        <v>6922</v>
      </c>
      <c r="R415" s="16" t="s">
        <v>6923</v>
      </c>
      <c r="S415" s="16" t="s">
        <v>17</v>
      </c>
      <c r="T415" s="16" t="s">
        <v>7761</v>
      </c>
      <c r="U415" s="16" t="s">
        <v>17</v>
      </c>
      <c r="V415" s="16" t="s">
        <v>6929</v>
      </c>
      <c r="W415" s="16" t="s">
        <v>17</v>
      </c>
      <c r="X415" s="16" t="s">
        <v>7760</v>
      </c>
      <c r="Y415" s="16" t="s">
        <v>17</v>
      </c>
      <c r="Z415" s="16" t="s">
        <v>6926</v>
      </c>
    </row>
    <row r="416" spans="1:26" x14ac:dyDescent="0.3">
      <c r="A416" s="16">
        <v>415</v>
      </c>
      <c r="B416" s="16" t="s">
        <v>7091</v>
      </c>
      <c r="C416" s="17">
        <v>9780071624084</v>
      </c>
      <c r="D416" s="17">
        <v>9780071624084</v>
      </c>
      <c r="E416" s="16" t="s">
        <v>6920</v>
      </c>
      <c r="F416" s="16" t="s">
        <v>17</v>
      </c>
      <c r="G416" s="16" t="s">
        <v>17</v>
      </c>
      <c r="H416" s="16" t="s">
        <v>17</v>
      </c>
      <c r="I416" s="16" t="s">
        <v>17</v>
      </c>
      <c r="J416" s="16" t="s">
        <v>17</v>
      </c>
      <c r="K416" s="16" t="s">
        <v>155</v>
      </c>
      <c r="L416" s="16" t="s">
        <v>153</v>
      </c>
      <c r="M416" s="16" t="s">
        <v>7091</v>
      </c>
      <c r="N416" s="16" t="s">
        <v>17</v>
      </c>
      <c r="O416" s="16" t="s">
        <v>6921</v>
      </c>
      <c r="P416" s="16" t="s">
        <v>17</v>
      </c>
      <c r="Q416" s="16" t="s">
        <v>6922</v>
      </c>
      <c r="R416" s="16" t="s">
        <v>6923</v>
      </c>
      <c r="S416" s="16" t="s">
        <v>17</v>
      </c>
      <c r="T416" s="16" t="s">
        <v>6920</v>
      </c>
      <c r="U416" s="16" t="s">
        <v>17</v>
      </c>
      <c r="V416" s="16" t="s">
        <v>6929</v>
      </c>
      <c r="W416" s="16" t="s">
        <v>17</v>
      </c>
      <c r="X416" s="16" t="s">
        <v>7091</v>
      </c>
      <c r="Y416" s="16" t="s">
        <v>17</v>
      </c>
      <c r="Z416" s="16" t="s">
        <v>6926</v>
      </c>
    </row>
    <row r="417" spans="1:26" x14ac:dyDescent="0.3">
      <c r="A417" s="16">
        <v>416</v>
      </c>
      <c r="B417" s="16" t="s">
        <v>7690</v>
      </c>
      <c r="C417" s="17">
        <v>9780071475228</v>
      </c>
      <c r="D417" s="17">
        <v>9780071475228</v>
      </c>
      <c r="E417" s="16" t="s">
        <v>6939</v>
      </c>
      <c r="F417" s="16" t="s">
        <v>17</v>
      </c>
      <c r="G417" s="16" t="s">
        <v>17</v>
      </c>
      <c r="H417" s="16" t="s">
        <v>17</v>
      </c>
      <c r="I417" s="16" t="s">
        <v>17</v>
      </c>
      <c r="J417" s="16" t="s">
        <v>17</v>
      </c>
      <c r="K417" s="16" t="s">
        <v>681</v>
      </c>
      <c r="L417" s="16" t="s">
        <v>7691</v>
      </c>
      <c r="M417" s="16" t="s">
        <v>7690</v>
      </c>
      <c r="N417" s="16" t="s">
        <v>17</v>
      </c>
      <c r="O417" s="16" t="s">
        <v>6921</v>
      </c>
      <c r="P417" s="16" t="s">
        <v>17</v>
      </c>
      <c r="Q417" s="16" t="s">
        <v>6922</v>
      </c>
      <c r="R417" s="16" t="s">
        <v>6923</v>
      </c>
      <c r="S417" s="16" t="s">
        <v>17</v>
      </c>
      <c r="T417" s="16" t="s">
        <v>6939</v>
      </c>
      <c r="U417" s="16" t="s">
        <v>17</v>
      </c>
      <c r="V417" s="16" t="s">
        <v>6929</v>
      </c>
      <c r="W417" s="16" t="s">
        <v>17</v>
      </c>
      <c r="X417" s="16" t="s">
        <v>7690</v>
      </c>
      <c r="Y417" s="16" t="s">
        <v>17</v>
      </c>
      <c r="Z417" s="16" t="s">
        <v>6926</v>
      </c>
    </row>
    <row r="418" spans="1:26" x14ac:dyDescent="0.3">
      <c r="A418" s="16">
        <v>417</v>
      </c>
      <c r="B418" s="16" t="s">
        <v>7122</v>
      </c>
      <c r="C418" s="17">
        <v>9780071410410</v>
      </c>
      <c r="D418" s="17">
        <v>9780071410410</v>
      </c>
      <c r="E418" s="16" t="s">
        <v>6920</v>
      </c>
      <c r="F418" s="16" t="s">
        <v>17</v>
      </c>
      <c r="G418" s="16" t="s">
        <v>17</v>
      </c>
      <c r="H418" s="16" t="s">
        <v>17</v>
      </c>
      <c r="I418" s="16" t="s">
        <v>17</v>
      </c>
      <c r="J418" s="16" t="s">
        <v>17</v>
      </c>
      <c r="K418" s="16" t="s">
        <v>183</v>
      </c>
      <c r="L418" s="16" t="s">
        <v>17</v>
      </c>
      <c r="M418" s="16" t="s">
        <v>7122</v>
      </c>
      <c r="N418" s="16" t="s">
        <v>17</v>
      </c>
      <c r="O418" s="16" t="s">
        <v>6921</v>
      </c>
      <c r="P418" s="16" t="s">
        <v>17</v>
      </c>
      <c r="Q418" s="16" t="s">
        <v>6922</v>
      </c>
      <c r="R418" s="16" t="s">
        <v>6923</v>
      </c>
      <c r="S418" s="16" t="s">
        <v>17</v>
      </c>
      <c r="T418" s="16" t="s">
        <v>6920</v>
      </c>
      <c r="U418" s="16" t="s">
        <v>17</v>
      </c>
      <c r="V418" s="16" t="s">
        <v>6929</v>
      </c>
      <c r="W418" s="16" t="s">
        <v>182</v>
      </c>
      <c r="X418" s="16" t="s">
        <v>7122</v>
      </c>
      <c r="Y418" s="16" t="s">
        <v>17</v>
      </c>
      <c r="Z418" s="16" t="s">
        <v>6926</v>
      </c>
    </row>
    <row r="419" spans="1:26" x14ac:dyDescent="0.3">
      <c r="A419" s="16">
        <v>418</v>
      </c>
      <c r="B419" s="16" t="s">
        <v>444</v>
      </c>
      <c r="C419" s="17">
        <v>9780071488600</v>
      </c>
      <c r="D419" s="17">
        <v>9780071488600</v>
      </c>
      <c r="E419" s="16" t="s">
        <v>6920</v>
      </c>
      <c r="F419" s="16" t="s">
        <v>17</v>
      </c>
      <c r="G419" s="16" t="s">
        <v>17</v>
      </c>
      <c r="H419" s="16" t="s">
        <v>17</v>
      </c>
      <c r="I419" s="16" t="s">
        <v>17</v>
      </c>
      <c r="J419" s="16" t="s">
        <v>17</v>
      </c>
      <c r="K419" s="16" t="s">
        <v>446</v>
      </c>
      <c r="L419" s="16" t="s">
        <v>445</v>
      </c>
      <c r="M419" s="16" t="s">
        <v>444</v>
      </c>
      <c r="N419" s="16" t="s">
        <v>17</v>
      </c>
      <c r="O419" s="16" t="s">
        <v>6921</v>
      </c>
      <c r="P419" s="16" t="s">
        <v>17</v>
      </c>
      <c r="Q419" s="16" t="s">
        <v>6922</v>
      </c>
      <c r="R419" s="16" t="s">
        <v>6923</v>
      </c>
      <c r="S419" s="16" t="s">
        <v>17</v>
      </c>
      <c r="T419" s="16" t="s">
        <v>6920</v>
      </c>
      <c r="U419" s="16" t="s">
        <v>17</v>
      </c>
      <c r="V419" s="16" t="s">
        <v>7049</v>
      </c>
      <c r="W419" s="16" t="s">
        <v>17</v>
      </c>
      <c r="X419" s="16" t="s">
        <v>444</v>
      </c>
      <c r="Y419" s="16" t="s">
        <v>17</v>
      </c>
      <c r="Z419" s="16" t="s">
        <v>6926</v>
      </c>
    </row>
    <row r="420" spans="1:26" x14ac:dyDescent="0.3">
      <c r="A420" s="16">
        <v>419</v>
      </c>
      <c r="B420" s="16" t="s">
        <v>6930</v>
      </c>
      <c r="C420" s="17">
        <v>9780071621274</v>
      </c>
      <c r="D420" s="17">
        <v>9780071621274</v>
      </c>
      <c r="E420" s="16" t="s">
        <v>6931</v>
      </c>
      <c r="F420" s="16" t="s">
        <v>17</v>
      </c>
      <c r="G420" s="16" t="s">
        <v>17</v>
      </c>
      <c r="H420" s="16" t="s">
        <v>17</v>
      </c>
      <c r="I420" s="16" t="s">
        <v>17</v>
      </c>
      <c r="J420" s="16" t="s">
        <v>17</v>
      </c>
      <c r="K420" s="16" t="s">
        <v>21</v>
      </c>
      <c r="L420" s="16" t="s">
        <v>6932</v>
      </c>
      <c r="M420" s="16" t="s">
        <v>6930</v>
      </c>
      <c r="N420" s="16" t="s">
        <v>17</v>
      </c>
      <c r="O420" s="16" t="s">
        <v>6921</v>
      </c>
      <c r="P420" s="16" t="s">
        <v>17</v>
      </c>
      <c r="Q420" s="16" t="s">
        <v>6922</v>
      </c>
      <c r="R420" s="16" t="s">
        <v>6923</v>
      </c>
      <c r="S420" s="16" t="s">
        <v>17</v>
      </c>
      <c r="T420" s="16" t="s">
        <v>6931</v>
      </c>
      <c r="U420" s="16" t="s">
        <v>17</v>
      </c>
      <c r="V420" s="16" t="s">
        <v>6929</v>
      </c>
      <c r="W420" s="16" t="s">
        <v>17</v>
      </c>
      <c r="X420" s="16" t="s">
        <v>6930</v>
      </c>
      <c r="Y420" s="16" t="s">
        <v>17</v>
      </c>
      <c r="Z420" s="16" t="s">
        <v>6926</v>
      </c>
    </row>
    <row r="421" spans="1:26" x14ac:dyDescent="0.3">
      <c r="A421" s="16">
        <v>420</v>
      </c>
      <c r="B421" s="16" t="s">
        <v>7078</v>
      </c>
      <c r="C421" s="17">
        <v>9780071609012</v>
      </c>
      <c r="D421" s="17">
        <v>9780071609012</v>
      </c>
      <c r="E421" s="16" t="s">
        <v>6920</v>
      </c>
      <c r="F421" s="16" t="s">
        <v>17</v>
      </c>
      <c r="G421" s="16" t="s">
        <v>17</v>
      </c>
      <c r="H421" s="16" t="s">
        <v>17</v>
      </c>
      <c r="I421" s="16" t="s">
        <v>17</v>
      </c>
      <c r="J421" s="16" t="s">
        <v>17</v>
      </c>
      <c r="K421" s="16" t="s">
        <v>140</v>
      </c>
      <c r="L421" s="16" t="s">
        <v>17</v>
      </c>
      <c r="M421" s="16" t="s">
        <v>7078</v>
      </c>
      <c r="N421" s="16" t="s">
        <v>17</v>
      </c>
      <c r="O421" s="16" t="s">
        <v>6921</v>
      </c>
      <c r="P421" s="16" t="s">
        <v>17</v>
      </c>
      <c r="Q421" s="16" t="s">
        <v>6922</v>
      </c>
      <c r="R421" s="16" t="s">
        <v>6923</v>
      </c>
      <c r="S421" s="16" t="s">
        <v>17</v>
      </c>
      <c r="T421" s="16" t="s">
        <v>6920</v>
      </c>
      <c r="U421" s="16" t="s">
        <v>17</v>
      </c>
      <c r="V421" s="16" t="s">
        <v>6929</v>
      </c>
      <c r="W421" s="16" t="s">
        <v>139</v>
      </c>
      <c r="X421" s="16" t="s">
        <v>7078</v>
      </c>
      <c r="Y421" s="16" t="s">
        <v>17</v>
      </c>
      <c r="Z421" s="16" t="s">
        <v>6926</v>
      </c>
    </row>
    <row r="422" spans="1:26" x14ac:dyDescent="0.3">
      <c r="A422" s="16">
        <v>421</v>
      </c>
      <c r="B422" s="16" t="s">
        <v>7762</v>
      </c>
      <c r="C422" s="17">
        <v>9780071741415</v>
      </c>
      <c r="D422" s="17">
        <v>9780071741415</v>
      </c>
      <c r="E422" s="16" t="s">
        <v>7655</v>
      </c>
      <c r="F422" s="16" t="s">
        <v>17</v>
      </c>
      <c r="G422" s="16" t="s">
        <v>17</v>
      </c>
      <c r="H422" s="16" t="s">
        <v>17</v>
      </c>
      <c r="I422" s="16" t="s">
        <v>17</v>
      </c>
      <c r="J422" s="16" t="s">
        <v>17</v>
      </c>
      <c r="K422" s="16" t="s">
        <v>743</v>
      </c>
      <c r="L422" s="16" t="s">
        <v>7763</v>
      </c>
      <c r="M422" s="16" t="s">
        <v>7762</v>
      </c>
      <c r="N422" s="16" t="s">
        <v>17</v>
      </c>
      <c r="O422" s="16" t="s">
        <v>6921</v>
      </c>
      <c r="P422" s="16" t="s">
        <v>17</v>
      </c>
      <c r="Q422" s="16" t="s">
        <v>6922</v>
      </c>
      <c r="R422" s="16" t="s">
        <v>6923</v>
      </c>
      <c r="S422" s="16" t="s">
        <v>17</v>
      </c>
      <c r="T422" s="16" t="s">
        <v>7655</v>
      </c>
      <c r="U422" s="16" t="s">
        <v>17</v>
      </c>
      <c r="V422" s="16" t="s">
        <v>6929</v>
      </c>
      <c r="W422" s="16" t="s">
        <v>17</v>
      </c>
      <c r="X422" s="16" t="s">
        <v>7762</v>
      </c>
      <c r="Y422" s="16" t="s">
        <v>17</v>
      </c>
      <c r="Z422" s="16" t="s">
        <v>6926</v>
      </c>
    </row>
    <row r="423" spans="1:26" x14ac:dyDescent="0.3">
      <c r="A423" s="16">
        <v>422</v>
      </c>
      <c r="B423" s="16" t="s">
        <v>7151</v>
      </c>
      <c r="C423" s="17">
        <v>9780071597630</v>
      </c>
      <c r="D423" s="17">
        <v>9780071597630</v>
      </c>
      <c r="E423" s="16" t="s">
        <v>7152</v>
      </c>
      <c r="F423" s="16" t="s">
        <v>17</v>
      </c>
      <c r="G423" s="16" t="s">
        <v>17</v>
      </c>
      <c r="H423" s="16" t="s">
        <v>17</v>
      </c>
      <c r="I423" s="16" t="s">
        <v>17</v>
      </c>
      <c r="J423" s="16" t="s">
        <v>17</v>
      </c>
      <c r="K423" s="16" t="s">
        <v>204</v>
      </c>
      <c r="L423" s="16" t="s">
        <v>17</v>
      </c>
      <c r="M423" s="16" t="s">
        <v>7151</v>
      </c>
      <c r="N423" s="16" t="s">
        <v>17</v>
      </c>
      <c r="O423" s="16" t="s">
        <v>6921</v>
      </c>
      <c r="P423" s="16" t="s">
        <v>17</v>
      </c>
      <c r="Q423" s="16" t="s">
        <v>6922</v>
      </c>
      <c r="R423" s="16" t="s">
        <v>6923</v>
      </c>
      <c r="S423" s="16" t="s">
        <v>17</v>
      </c>
      <c r="T423" s="16" t="s">
        <v>7152</v>
      </c>
      <c r="U423" s="16" t="s">
        <v>17</v>
      </c>
      <c r="V423" s="16" t="s">
        <v>6949</v>
      </c>
      <c r="W423" s="16" t="s">
        <v>7153</v>
      </c>
      <c r="X423" s="16" t="s">
        <v>7151</v>
      </c>
      <c r="Y423" s="16" t="s">
        <v>17</v>
      </c>
      <c r="Z423" s="16" t="s">
        <v>6926</v>
      </c>
    </row>
    <row r="424" spans="1:26" x14ac:dyDescent="0.3">
      <c r="A424" s="16">
        <v>423</v>
      </c>
      <c r="B424" s="16" t="s">
        <v>7813</v>
      </c>
      <c r="C424" s="17">
        <v>9780071454735</v>
      </c>
      <c r="D424" s="17">
        <v>9780071454735</v>
      </c>
      <c r="E424" s="16" t="s">
        <v>6920</v>
      </c>
      <c r="F424" s="16" t="s">
        <v>17</v>
      </c>
      <c r="G424" s="16" t="s">
        <v>17</v>
      </c>
      <c r="H424" s="16" t="s">
        <v>17</v>
      </c>
      <c r="I424" s="16" t="s">
        <v>17</v>
      </c>
      <c r="J424" s="16" t="s">
        <v>17</v>
      </c>
      <c r="K424" s="16" t="s">
        <v>789</v>
      </c>
      <c r="L424" s="16" t="s">
        <v>788</v>
      </c>
      <c r="M424" s="16" t="s">
        <v>7813</v>
      </c>
      <c r="N424" s="16" t="s">
        <v>17</v>
      </c>
      <c r="O424" s="16" t="s">
        <v>6921</v>
      </c>
      <c r="P424" s="16" t="s">
        <v>17</v>
      </c>
      <c r="Q424" s="16" t="s">
        <v>6922</v>
      </c>
      <c r="R424" s="16" t="s">
        <v>6923</v>
      </c>
      <c r="S424" s="16" t="s">
        <v>17</v>
      </c>
      <c r="T424" s="16" t="s">
        <v>6920</v>
      </c>
      <c r="U424" s="16" t="s">
        <v>17</v>
      </c>
      <c r="V424" s="16" t="s">
        <v>6929</v>
      </c>
      <c r="W424" s="16" t="s">
        <v>17</v>
      </c>
      <c r="X424" s="16" t="s">
        <v>7813</v>
      </c>
      <c r="Y424" s="16" t="s">
        <v>17</v>
      </c>
      <c r="Z424" s="16" t="s">
        <v>6926</v>
      </c>
    </row>
    <row r="425" spans="1:26" x14ac:dyDescent="0.3">
      <c r="A425" s="16">
        <v>424</v>
      </c>
      <c r="B425" s="16" t="s">
        <v>6100</v>
      </c>
      <c r="C425" s="17">
        <v>9781265649159</v>
      </c>
      <c r="D425" s="17">
        <v>9781265649159</v>
      </c>
      <c r="E425" s="16" t="s">
        <v>8446</v>
      </c>
      <c r="F425" s="16" t="s">
        <v>17</v>
      </c>
      <c r="G425" s="16" t="s">
        <v>17</v>
      </c>
      <c r="H425" s="16" t="s">
        <v>17</v>
      </c>
      <c r="I425" s="16" t="s">
        <v>17</v>
      </c>
      <c r="J425" s="16" t="s">
        <v>17</v>
      </c>
      <c r="K425" s="16" t="s">
        <v>1626</v>
      </c>
      <c r="L425" s="16" t="s">
        <v>796</v>
      </c>
      <c r="M425" s="16" t="s">
        <v>6100</v>
      </c>
      <c r="N425" s="16" t="s">
        <v>17</v>
      </c>
      <c r="O425" s="16" t="s">
        <v>6921</v>
      </c>
      <c r="P425" s="16" t="s">
        <v>17</v>
      </c>
      <c r="Q425" s="16" t="s">
        <v>6922</v>
      </c>
      <c r="R425" s="16" t="s">
        <v>6923</v>
      </c>
      <c r="S425" s="16" t="s">
        <v>17</v>
      </c>
      <c r="T425" s="16" t="s">
        <v>8446</v>
      </c>
      <c r="U425" s="16" t="s">
        <v>17</v>
      </c>
      <c r="V425" s="16" t="s">
        <v>6929</v>
      </c>
      <c r="W425" s="16" t="s">
        <v>17</v>
      </c>
      <c r="X425" s="16" t="s">
        <v>6100</v>
      </c>
      <c r="Y425" s="16" t="s">
        <v>17</v>
      </c>
      <c r="Z425" s="16" t="s">
        <v>6926</v>
      </c>
    </row>
    <row r="426" spans="1:26" x14ac:dyDescent="0.3">
      <c r="A426" s="16">
        <v>425</v>
      </c>
      <c r="B426" s="16" t="s">
        <v>5414</v>
      </c>
      <c r="C426" s="17">
        <v>9781264278305</v>
      </c>
      <c r="D426" s="17">
        <v>9781264278305</v>
      </c>
      <c r="E426" s="16" t="s">
        <v>7821</v>
      </c>
      <c r="F426" s="16" t="s">
        <v>17</v>
      </c>
      <c r="G426" s="16" t="s">
        <v>17</v>
      </c>
      <c r="H426" s="16" t="s">
        <v>17</v>
      </c>
      <c r="I426" s="16" t="s">
        <v>17</v>
      </c>
      <c r="J426" s="16" t="s">
        <v>17</v>
      </c>
      <c r="K426" s="16" t="s">
        <v>797</v>
      </c>
      <c r="L426" s="16" t="s">
        <v>796</v>
      </c>
      <c r="M426" s="16" t="s">
        <v>5414</v>
      </c>
      <c r="N426" s="16" t="s">
        <v>17</v>
      </c>
      <c r="O426" s="16" t="s">
        <v>6921</v>
      </c>
      <c r="P426" s="16" t="s">
        <v>17</v>
      </c>
      <c r="Q426" s="16" t="s">
        <v>6922</v>
      </c>
      <c r="R426" s="16" t="s">
        <v>6923</v>
      </c>
      <c r="S426" s="16" t="s">
        <v>17</v>
      </c>
      <c r="T426" s="16" t="s">
        <v>7821</v>
      </c>
      <c r="U426" s="16" t="s">
        <v>17</v>
      </c>
      <c r="V426" s="16" t="s">
        <v>6929</v>
      </c>
      <c r="W426" s="16" t="s">
        <v>17</v>
      </c>
      <c r="X426" s="16" t="s">
        <v>5414</v>
      </c>
      <c r="Y426" s="16" t="s">
        <v>17</v>
      </c>
      <c r="Z426" s="16" t="s">
        <v>6926</v>
      </c>
    </row>
    <row r="427" spans="1:26" x14ac:dyDescent="0.3">
      <c r="A427" s="16">
        <v>426</v>
      </c>
      <c r="B427" s="16" t="s">
        <v>7042</v>
      </c>
      <c r="C427" s="17">
        <v>9780071848299</v>
      </c>
      <c r="D427" s="17">
        <v>9780071848299</v>
      </c>
      <c r="E427" s="16" t="s">
        <v>7043</v>
      </c>
      <c r="F427" s="16" t="s">
        <v>17</v>
      </c>
      <c r="G427" s="16" t="s">
        <v>17</v>
      </c>
      <c r="H427" s="16" t="s">
        <v>17</v>
      </c>
      <c r="I427" s="16" t="s">
        <v>17</v>
      </c>
      <c r="J427" s="16" t="s">
        <v>17</v>
      </c>
      <c r="K427" s="16" t="s">
        <v>107</v>
      </c>
      <c r="L427" s="16" t="s">
        <v>7044</v>
      </c>
      <c r="M427" s="16" t="s">
        <v>7042</v>
      </c>
      <c r="N427" s="16" t="s">
        <v>17</v>
      </c>
      <c r="O427" s="16" t="s">
        <v>6921</v>
      </c>
      <c r="P427" s="16" t="s">
        <v>17</v>
      </c>
      <c r="Q427" s="16" t="s">
        <v>6922</v>
      </c>
      <c r="R427" s="16" t="s">
        <v>6923</v>
      </c>
      <c r="S427" s="16" t="s">
        <v>17</v>
      </c>
      <c r="T427" s="16" t="s">
        <v>7043</v>
      </c>
      <c r="U427" s="16" t="s">
        <v>17</v>
      </c>
      <c r="V427" s="16" t="s">
        <v>6924</v>
      </c>
      <c r="W427" s="16" t="s">
        <v>17</v>
      </c>
      <c r="X427" s="16" t="s">
        <v>7042</v>
      </c>
      <c r="Y427" s="16" t="s">
        <v>17</v>
      </c>
      <c r="Z427" s="16" t="s">
        <v>6926</v>
      </c>
    </row>
    <row r="428" spans="1:26" x14ac:dyDescent="0.3">
      <c r="A428" s="16">
        <v>427</v>
      </c>
      <c r="B428" s="16" t="s">
        <v>7042</v>
      </c>
      <c r="C428" s="17">
        <v>9781265933920</v>
      </c>
      <c r="D428" s="17">
        <v>9781265933920</v>
      </c>
      <c r="E428" s="16" t="s">
        <v>8445</v>
      </c>
      <c r="F428" s="16" t="s">
        <v>17</v>
      </c>
      <c r="G428" s="16" t="s">
        <v>17</v>
      </c>
      <c r="H428" s="16" t="s">
        <v>17</v>
      </c>
      <c r="I428" s="16" t="s">
        <v>17</v>
      </c>
      <c r="J428" s="16" t="s">
        <v>17</v>
      </c>
      <c r="K428" s="16" t="s">
        <v>1625</v>
      </c>
      <c r="L428" s="16" t="s">
        <v>7044</v>
      </c>
      <c r="M428" s="16" t="s">
        <v>7042</v>
      </c>
      <c r="N428" s="16" t="s">
        <v>17</v>
      </c>
      <c r="O428" s="16" t="s">
        <v>6921</v>
      </c>
      <c r="P428" s="16" t="s">
        <v>17</v>
      </c>
      <c r="Q428" s="16" t="s">
        <v>6922</v>
      </c>
      <c r="R428" s="16" t="s">
        <v>6923</v>
      </c>
      <c r="S428" s="16" t="s">
        <v>17</v>
      </c>
      <c r="T428" s="16" t="s">
        <v>8445</v>
      </c>
      <c r="U428" s="16" t="s">
        <v>17</v>
      </c>
      <c r="V428" s="16" t="s">
        <v>6949</v>
      </c>
      <c r="W428" s="16" t="s">
        <v>17</v>
      </c>
      <c r="X428" s="16" t="s">
        <v>7042</v>
      </c>
      <c r="Y428" s="16" t="s">
        <v>17</v>
      </c>
      <c r="Z428" s="16" t="s">
        <v>6926</v>
      </c>
    </row>
    <row r="429" spans="1:26" x14ac:dyDescent="0.3">
      <c r="A429" s="16">
        <v>428</v>
      </c>
      <c r="B429" s="16" t="s">
        <v>1018</v>
      </c>
      <c r="C429" s="17">
        <v>9780071625074</v>
      </c>
      <c r="D429" s="17">
        <v>9780071625074</v>
      </c>
      <c r="E429" s="16" t="s">
        <v>6920</v>
      </c>
      <c r="F429" s="16" t="s">
        <v>17</v>
      </c>
      <c r="G429" s="16" t="s">
        <v>17</v>
      </c>
      <c r="H429" s="16" t="s">
        <v>17</v>
      </c>
      <c r="I429" s="16" t="s">
        <v>17</v>
      </c>
      <c r="J429" s="16" t="s">
        <v>17</v>
      </c>
      <c r="K429" s="16" t="s">
        <v>1020</v>
      </c>
      <c r="L429" s="16" t="s">
        <v>1019</v>
      </c>
      <c r="M429" s="16" t="s">
        <v>1018</v>
      </c>
      <c r="N429" s="16" t="s">
        <v>17</v>
      </c>
      <c r="O429" s="16" t="s">
        <v>6921</v>
      </c>
      <c r="P429" s="16" t="s">
        <v>17</v>
      </c>
      <c r="Q429" s="16" t="s">
        <v>6922</v>
      </c>
      <c r="R429" s="16" t="s">
        <v>6923</v>
      </c>
      <c r="S429" s="16" t="s">
        <v>17</v>
      </c>
      <c r="T429" s="16" t="s">
        <v>6920</v>
      </c>
      <c r="U429" s="16" t="s">
        <v>17</v>
      </c>
      <c r="V429" s="16" t="s">
        <v>7049</v>
      </c>
      <c r="W429" s="16" t="s">
        <v>17</v>
      </c>
      <c r="X429" s="16" t="s">
        <v>1018</v>
      </c>
      <c r="Y429" s="16" t="s">
        <v>17</v>
      </c>
      <c r="Z429" s="16" t="s">
        <v>6926</v>
      </c>
    </row>
    <row r="430" spans="1:26" x14ac:dyDescent="0.3">
      <c r="A430" s="16">
        <v>429</v>
      </c>
      <c r="B430" s="16" t="s">
        <v>8189</v>
      </c>
      <c r="C430" s="17">
        <v>9780071835732</v>
      </c>
      <c r="D430" s="17">
        <v>9780071835732</v>
      </c>
      <c r="E430" s="16" t="s">
        <v>6953</v>
      </c>
      <c r="F430" s="16" t="s">
        <v>17</v>
      </c>
      <c r="G430" s="16" t="s">
        <v>17</v>
      </c>
      <c r="H430" s="16" t="s">
        <v>17</v>
      </c>
      <c r="I430" s="16" t="s">
        <v>17</v>
      </c>
      <c r="J430" s="16" t="s">
        <v>17</v>
      </c>
      <c r="K430" s="16" t="s">
        <v>1269</v>
      </c>
      <c r="L430" s="16" t="s">
        <v>1019</v>
      </c>
      <c r="M430" s="16" t="s">
        <v>8189</v>
      </c>
      <c r="N430" s="16" t="s">
        <v>17</v>
      </c>
      <c r="O430" s="16" t="s">
        <v>6921</v>
      </c>
      <c r="P430" s="16" t="s">
        <v>17</v>
      </c>
      <c r="Q430" s="16" t="s">
        <v>6922</v>
      </c>
      <c r="R430" s="16" t="s">
        <v>6923</v>
      </c>
      <c r="S430" s="16" t="s">
        <v>17</v>
      </c>
      <c r="T430" s="16" t="s">
        <v>6953</v>
      </c>
      <c r="U430" s="16" t="s">
        <v>17</v>
      </c>
      <c r="V430" s="16" t="s">
        <v>6924</v>
      </c>
      <c r="W430" s="16" t="s">
        <v>17</v>
      </c>
      <c r="X430" s="16" t="s">
        <v>8189</v>
      </c>
      <c r="Y430" s="16" t="s">
        <v>17</v>
      </c>
      <c r="Z430" s="16" t="s">
        <v>6926</v>
      </c>
    </row>
    <row r="431" spans="1:26" x14ac:dyDescent="0.3">
      <c r="A431" s="16">
        <v>430</v>
      </c>
      <c r="B431" s="16" t="s">
        <v>7879</v>
      </c>
      <c r="C431" s="17">
        <v>9781260135855</v>
      </c>
      <c r="D431" s="17">
        <v>9781260135855</v>
      </c>
      <c r="E431" s="16" t="s">
        <v>7880</v>
      </c>
      <c r="F431" s="16" t="s">
        <v>17</v>
      </c>
      <c r="G431" s="16" t="s">
        <v>17</v>
      </c>
      <c r="H431" s="16" t="s">
        <v>17</v>
      </c>
      <c r="I431" s="16" t="s">
        <v>17</v>
      </c>
      <c r="J431" s="16" t="s">
        <v>17</v>
      </c>
      <c r="K431" s="16" t="s">
        <v>878</v>
      </c>
      <c r="L431" s="16" t="s">
        <v>877</v>
      </c>
      <c r="M431" s="16" t="s">
        <v>7879</v>
      </c>
      <c r="N431" s="16" t="s">
        <v>17</v>
      </c>
      <c r="O431" s="16" t="s">
        <v>6921</v>
      </c>
      <c r="P431" s="16" t="s">
        <v>17</v>
      </c>
      <c r="Q431" s="16" t="s">
        <v>6922</v>
      </c>
      <c r="R431" s="16" t="s">
        <v>6923</v>
      </c>
      <c r="S431" s="16" t="s">
        <v>17</v>
      </c>
      <c r="T431" s="16" t="s">
        <v>7880</v>
      </c>
      <c r="U431" s="16" t="s">
        <v>17</v>
      </c>
      <c r="V431" s="16" t="s">
        <v>6929</v>
      </c>
      <c r="W431" s="16" t="s">
        <v>17</v>
      </c>
      <c r="X431" s="16" t="s">
        <v>7879</v>
      </c>
      <c r="Y431" s="16" t="s">
        <v>17</v>
      </c>
      <c r="Z431" s="16" t="s">
        <v>6926</v>
      </c>
    </row>
    <row r="432" spans="1:26" x14ac:dyDescent="0.3">
      <c r="A432" s="16">
        <v>431</v>
      </c>
      <c r="B432" s="16" t="s">
        <v>7637</v>
      </c>
      <c r="C432" s="17">
        <v>9780071702874</v>
      </c>
      <c r="D432" s="17">
        <v>9780071702874</v>
      </c>
      <c r="E432" s="16" t="s">
        <v>7638</v>
      </c>
      <c r="F432" s="16" t="s">
        <v>17</v>
      </c>
      <c r="G432" s="16" t="s">
        <v>17</v>
      </c>
      <c r="H432" s="16" t="s">
        <v>17</v>
      </c>
      <c r="I432" s="16" t="s">
        <v>17</v>
      </c>
      <c r="J432" s="16" t="s">
        <v>17</v>
      </c>
      <c r="K432" s="16" t="s">
        <v>631</v>
      </c>
      <c r="L432" s="16" t="s">
        <v>630</v>
      </c>
      <c r="M432" s="16" t="s">
        <v>7637</v>
      </c>
      <c r="N432" s="16" t="s">
        <v>17</v>
      </c>
      <c r="O432" s="16" t="s">
        <v>6921</v>
      </c>
      <c r="P432" s="16" t="s">
        <v>17</v>
      </c>
      <c r="Q432" s="16" t="s">
        <v>6922</v>
      </c>
      <c r="R432" s="16" t="s">
        <v>6923</v>
      </c>
      <c r="S432" s="16" t="s">
        <v>17</v>
      </c>
      <c r="T432" s="16" t="s">
        <v>7638</v>
      </c>
      <c r="U432" s="16" t="s">
        <v>17</v>
      </c>
      <c r="V432" s="16" t="s">
        <v>6949</v>
      </c>
      <c r="W432" s="16" t="s">
        <v>17</v>
      </c>
      <c r="X432" s="16" t="s">
        <v>7637</v>
      </c>
      <c r="Y432" s="16" t="s">
        <v>17</v>
      </c>
      <c r="Z432" s="16" t="s">
        <v>6926</v>
      </c>
    </row>
    <row r="433" spans="1:26" x14ac:dyDescent="0.3">
      <c r="A433" s="16">
        <v>432</v>
      </c>
      <c r="B433" s="16" t="s">
        <v>6990</v>
      </c>
      <c r="C433" s="17">
        <v>9780071825658</v>
      </c>
      <c r="D433" s="17">
        <v>9780071825658</v>
      </c>
      <c r="E433" s="16" t="s">
        <v>6991</v>
      </c>
      <c r="F433" s="16" t="s">
        <v>17</v>
      </c>
      <c r="G433" s="16" t="s">
        <v>17</v>
      </c>
      <c r="H433" s="16" t="s">
        <v>17</v>
      </c>
      <c r="I433" s="16" t="s">
        <v>17</v>
      </c>
      <c r="J433" s="16" t="s">
        <v>17</v>
      </c>
      <c r="K433" s="16" t="s">
        <v>68</v>
      </c>
      <c r="L433" s="16" t="s">
        <v>66</v>
      </c>
      <c r="M433" s="16" t="s">
        <v>6990</v>
      </c>
      <c r="N433" s="16" t="s">
        <v>17</v>
      </c>
      <c r="O433" s="16" t="s">
        <v>6921</v>
      </c>
      <c r="P433" s="16" t="s">
        <v>17</v>
      </c>
      <c r="Q433" s="16" t="s">
        <v>6922</v>
      </c>
      <c r="R433" s="16" t="s">
        <v>6923</v>
      </c>
      <c r="S433" s="16" t="s">
        <v>17</v>
      </c>
      <c r="T433" s="16" t="s">
        <v>6991</v>
      </c>
      <c r="U433" s="16" t="s">
        <v>17</v>
      </c>
      <c r="V433" s="16" t="s">
        <v>6929</v>
      </c>
      <c r="W433" s="16" t="s">
        <v>17</v>
      </c>
      <c r="X433" s="16" t="s">
        <v>6990</v>
      </c>
      <c r="Y433" s="16" t="s">
        <v>17</v>
      </c>
      <c r="Z433" s="16" t="s">
        <v>6926</v>
      </c>
    </row>
    <row r="434" spans="1:26" x14ac:dyDescent="0.3">
      <c r="A434" s="16">
        <v>433</v>
      </c>
      <c r="B434" s="16" t="s">
        <v>8000</v>
      </c>
      <c r="C434" s="17">
        <v>9781260457247</v>
      </c>
      <c r="D434" s="17">
        <v>9781260457247</v>
      </c>
      <c r="E434" s="16" t="s">
        <v>8001</v>
      </c>
      <c r="F434" s="16" t="s">
        <v>17</v>
      </c>
      <c r="G434" s="16" t="s">
        <v>17</v>
      </c>
      <c r="H434" s="16" t="s">
        <v>17</v>
      </c>
      <c r="I434" s="16" t="s">
        <v>17</v>
      </c>
      <c r="J434" s="16" t="s">
        <v>17</v>
      </c>
      <c r="K434" s="16" t="s">
        <v>1061</v>
      </c>
      <c r="L434" s="16" t="s">
        <v>8002</v>
      </c>
      <c r="M434" s="16" t="s">
        <v>8000</v>
      </c>
      <c r="N434" s="16" t="s">
        <v>17</v>
      </c>
      <c r="O434" s="16" t="s">
        <v>6921</v>
      </c>
      <c r="P434" s="16" t="s">
        <v>17</v>
      </c>
      <c r="Q434" s="16" t="s">
        <v>6922</v>
      </c>
      <c r="R434" s="16" t="s">
        <v>6923</v>
      </c>
      <c r="S434" s="16" t="s">
        <v>17</v>
      </c>
      <c r="T434" s="16" t="s">
        <v>8001</v>
      </c>
      <c r="U434" s="16" t="s">
        <v>17</v>
      </c>
      <c r="V434" s="16" t="s">
        <v>6924</v>
      </c>
      <c r="W434" s="16" t="s">
        <v>17</v>
      </c>
      <c r="X434" s="16" t="s">
        <v>8000</v>
      </c>
      <c r="Y434" s="16" t="s">
        <v>17</v>
      </c>
      <c r="Z434" s="16" t="s">
        <v>6926</v>
      </c>
    </row>
    <row r="435" spans="1:26" x14ac:dyDescent="0.3">
      <c r="A435" s="16">
        <v>434</v>
      </c>
      <c r="B435" s="16" t="s">
        <v>7045</v>
      </c>
      <c r="C435" s="17">
        <v>9780071829595</v>
      </c>
      <c r="D435" s="17">
        <v>9780071829595</v>
      </c>
      <c r="E435" s="16" t="s">
        <v>7046</v>
      </c>
      <c r="F435" s="16" t="s">
        <v>17</v>
      </c>
      <c r="G435" s="16" t="s">
        <v>17</v>
      </c>
      <c r="H435" s="16" t="s">
        <v>17</v>
      </c>
      <c r="I435" s="16" t="s">
        <v>17</v>
      </c>
      <c r="J435" s="16" t="s">
        <v>17</v>
      </c>
      <c r="K435" s="16" t="s">
        <v>108</v>
      </c>
      <c r="L435" s="16" t="s">
        <v>7047</v>
      </c>
      <c r="M435" s="16" t="s">
        <v>7045</v>
      </c>
      <c r="N435" s="16" t="s">
        <v>17</v>
      </c>
      <c r="O435" s="16" t="s">
        <v>6921</v>
      </c>
      <c r="P435" s="16" t="s">
        <v>17</v>
      </c>
      <c r="Q435" s="16" t="s">
        <v>6922</v>
      </c>
      <c r="R435" s="16" t="s">
        <v>6923</v>
      </c>
      <c r="S435" s="16" t="s">
        <v>17</v>
      </c>
      <c r="T435" s="16" t="s">
        <v>7046</v>
      </c>
      <c r="U435" s="16" t="s">
        <v>17</v>
      </c>
      <c r="V435" s="16" t="s">
        <v>6949</v>
      </c>
      <c r="W435" s="16" t="s">
        <v>17</v>
      </c>
      <c r="X435" s="16" t="s">
        <v>7045</v>
      </c>
      <c r="Y435" s="16" t="s">
        <v>17</v>
      </c>
      <c r="Z435" s="16" t="s">
        <v>6926</v>
      </c>
    </row>
    <row r="436" spans="1:26" x14ac:dyDescent="0.3">
      <c r="A436" s="16">
        <v>435</v>
      </c>
      <c r="B436" s="16" t="s">
        <v>7888</v>
      </c>
      <c r="C436" s="17">
        <v>9781260116007</v>
      </c>
      <c r="D436" s="17">
        <v>9781260116007</v>
      </c>
      <c r="E436" s="16" t="s">
        <v>7846</v>
      </c>
      <c r="F436" s="16" t="s">
        <v>17</v>
      </c>
      <c r="G436" s="16" t="s">
        <v>17</v>
      </c>
      <c r="H436" s="16" t="s">
        <v>17</v>
      </c>
      <c r="I436" s="16" t="s">
        <v>17</v>
      </c>
      <c r="J436" s="16" t="s">
        <v>17</v>
      </c>
      <c r="K436" s="16" t="s">
        <v>889</v>
      </c>
      <c r="L436" s="16" t="s">
        <v>888</v>
      </c>
      <c r="M436" s="16" t="s">
        <v>7888</v>
      </c>
      <c r="N436" s="16" t="s">
        <v>17</v>
      </c>
      <c r="O436" s="16" t="s">
        <v>6921</v>
      </c>
      <c r="P436" s="16" t="s">
        <v>17</v>
      </c>
      <c r="Q436" s="16" t="s">
        <v>6922</v>
      </c>
      <c r="R436" s="16" t="s">
        <v>6923</v>
      </c>
      <c r="S436" s="16" t="s">
        <v>17</v>
      </c>
      <c r="T436" s="16" t="s">
        <v>7846</v>
      </c>
      <c r="U436" s="16" t="s">
        <v>17</v>
      </c>
      <c r="V436" s="16" t="s">
        <v>6949</v>
      </c>
      <c r="W436" s="16" t="s">
        <v>17</v>
      </c>
      <c r="X436" s="16" t="s">
        <v>7888</v>
      </c>
      <c r="Y436" s="16" t="s">
        <v>17</v>
      </c>
      <c r="Z436" s="16" t="s">
        <v>6926</v>
      </c>
    </row>
    <row r="437" spans="1:26" x14ac:dyDescent="0.3">
      <c r="A437" s="16">
        <v>436</v>
      </c>
      <c r="B437" s="16" t="s">
        <v>7315</v>
      </c>
      <c r="C437" s="17">
        <v>9780071457842</v>
      </c>
      <c r="D437" s="17">
        <v>9780071457842</v>
      </c>
      <c r="E437" s="16" t="s">
        <v>6920</v>
      </c>
      <c r="F437" s="16" t="s">
        <v>17</v>
      </c>
      <c r="G437" s="16" t="s">
        <v>17</v>
      </c>
      <c r="H437" s="16" t="s">
        <v>17</v>
      </c>
      <c r="I437" s="16" t="s">
        <v>17</v>
      </c>
      <c r="J437" s="16" t="s">
        <v>17</v>
      </c>
      <c r="K437" s="16" t="s">
        <v>340</v>
      </c>
      <c r="L437" s="16" t="s">
        <v>7316</v>
      </c>
      <c r="M437" s="16" t="s">
        <v>7315</v>
      </c>
      <c r="N437" s="16" t="s">
        <v>17</v>
      </c>
      <c r="O437" s="16" t="s">
        <v>6921</v>
      </c>
      <c r="P437" s="16" t="s">
        <v>17</v>
      </c>
      <c r="Q437" s="16" t="s">
        <v>6922</v>
      </c>
      <c r="R437" s="16" t="s">
        <v>6923</v>
      </c>
      <c r="S437" s="16" t="s">
        <v>17</v>
      </c>
      <c r="T437" s="16" t="s">
        <v>6920</v>
      </c>
      <c r="U437" s="16" t="s">
        <v>17</v>
      </c>
      <c r="V437" s="16" t="s">
        <v>6924</v>
      </c>
      <c r="W437" s="16" t="s">
        <v>17</v>
      </c>
      <c r="X437" s="16" t="s">
        <v>7315</v>
      </c>
      <c r="Y437" s="16" t="s">
        <v>17</v>
      </c>
      <c r="Z437" s="16" t="s">
        <v>6926</v>
      </c>
    </row>
    <row r="438" spans="1:26" x14ac:dyDescent="0.3">
      <c r="A438" s="16">
        <v>437</v>
      </c>
      <c r="B438" s="16" t="s">
        <v>6941</v>
      </c>
      <c r="C438" s="17">
        <v>9780071622974</v>
      </c>
      <c r="D438" s="17">
        <v>9780071622974</v>
      </c>
      <c r="E438" s="16" t="s">
        <v>6942</v>
      </c>
      <c r="F438" s="16" t="s">
        <v>17</v>
      </c>
      <c r="G438" s="16" t="s">
        <v>17</v>
      </c>
      <c r="H438" s="16" t="s">
        <v>17</v>
      </c>
      <c r="I438" s="16" t="s">
        <v>17</v>
      </c>
      <c r="J438" s="16" t="s">
        <v>17</v>
      </c>
      <c r="K438" s="16" t="s">
        <v>32</v>
      </c>
      <c r="L438" s="16" t="s">
        <v>6943</v>
      </c>
      <c r="M438" s="16" t="s">
        <v>6941</v>
      </c>
      <c r="N438" s="16" t="s">
        <v>17</v>
      </c>
      <c r="O438" s="16" t="s">
        <v>6921</v>
      </c>
      <c r="P438" s="16" t="s">
        <v>17</v>
      </c>
      <c r="Q438" s="16" t="s">
        <v>6922</v>
      </c>
      <c r="R438" s="16" t="s">
        <v>6923</v>
      </c>
      <c r="S438" s="16" t="s">
        <v>17</v>
      </c>
      <c r="T438" s="16" t="s">
        <v>6942</v>
      </c>
      <c r="U438" s="16" t="s">
        <v>17</v>
      </c>
      <c r="V438" s="16" t="s">
        <v>6944</v>
      </c>
      <c r="W438" s="16" t="s">
        <v>17</v>
      </c>
      <c r="X438" s="16" t="s">
        <v>6941</v>
      </c>
      <c r="Y438" s="16" t="s">
        <v>17</v>
      </c>
      <c r="Z438" s="16" t="s">
        <v>6926</v>
      </c>
    </row>
    <row r="439" spans="1:26" x14ac:dyDescent="0.3">
      <c r="A439" s="16">
        <v>438</v>
      </c>
      <c r="B439" s="16" t="s">
        <v>8327</v>
      </c>
      <c r="C439" s="17">
        <v>9780071482424</v>
      </c>
      <c r="D439" s="17">
        <v>9780071482424</v>
      </c>
      <c r="E439" s="16" t="s">
        <v>6920</v>
      </c>
      <c r="F439" s="16" t="s">
        <v>17</v>
      </c>
      <c r="G439" s="16" t="s">
        <v>17</v>
      </c>
      <c r="H439" s="16" t="s">
        <v>17</v>
      </c>
      <c r="I439" s="16" t="s">
        <v>17</v>
      </c>
      <c r="J439" s="16" t="s">
        <v>17</v>
      </c>
      <c r="K439" s="16" t="s">
        <v>1392</v>
      </c>
      <c r="L439" s="16" t="s">
        <v>1391</v>
      </c>
      <c r="M439" s="16" t="s">
        <v>8327</v>
      </c>
      <c r="N439" s="16" t="s">
        <v>17</v>
      </c>
      <c r="O439" s="16" t="s">
        <v>6921</v>
      </c>
      <c r="P439" s="16" t="s">
        <v>17</v>
      </c>
      <c r="Q439" s="16" t="s">
        <v>6922</v>
      </c>
      <c r="R439" s="16" t="s">
        <v>6923</v>
      </c>
      <c r="S439" s="16" t="s">
        <v>17</v>
      </c>
      <c r="T439" s="16" t="s">
        <v>6920</v>
      </c>
      <c r="U439" s="16" t="s">
        <v>17</v>
      </c>
      <c r="V439" s="16" t="s">
        <v>7480</v>
      </c>
      <c r="W439" s="16" t="s">
        <v>17</v>
      </c>
      <c r="X439" s="16" t="s">
        <v>8327</v>
      </c>
      <c r="Y439" s="16" t="s">
        <v>17</v>
      </c>
      <c r="Z439" s="16" t="s">
        <v>6926</v>
      </c>
    </row>
    <row r="440" spans="1:26" x14ac:dyDescent="0.3">
      <c r="A440" s="16">
        <v>439</v>
      </c>
      <c r="B440" s="16" t="s">
        <v>7570</v>
      </c>
      <c r="C440" s="17">
        <v>9780071826839</v>
      </c>
      <c r="D440" s="17">
        <v>9780071826839</v>
      </c>
      <c r="E440" s="16" t="s">
        <v>7571</v>
      </c>
      <c r="F440" s="16" t="s">
        <v>17</v>
      </c>
      <c r="G440" s="16" t="s">
        <v>17</v>
      </c>
      <c r="H440" s="16" t="s">
        <v>17</v>
      </c>
      <c r="I440" s="16" t="s">
        <v>17</v>
      </c>
      <c r="J440" s="16" t="s">
        <v>17</v>
      </c>
      <c r="K440" s="16" t="s">
        <v>560</v>
      </c>
      <c r="L440" s="16" t="s">
        <v>559</v>
      </c>
      <c r="M440" s="16" t="s">
        <v>7570</v>
      </c>
      <c r="N440" s="16" t="s">
        <v>17</v>
      </c>
      <c r="O440" s="16" t="s">
        <v>6921</v>
      </c>
      <c r="P440" s="16" t="s">
        <v>17</v>
      </c>
      <c r="Q440" s="16" t="s">
        <v>6922</v>
      </c>
      <c r="R440" s="16" t="s">
        <v>6923</v>
      </c>
      <c r="S440" s="16" t="s">
        <v>17</v>
      </c>
      <c r="T440" s="16" t="s">
        <v>7571</v>
      </c>
      <c r="U440" s="16" t="s">
        <v>17</v>
      </c>
      <c r="V440" s="16" t="s">
        <v>6929</v>
      </c>
      <c r="W440" s="16" t="s">
        <v>17</v>
      </c>
      <c r="X440" s="16" t="s">
        <v>7570</v>
      </c>
      <c r="Y440" s="16" t="s">
        <v>17</v>
      </c>
      <c r="Z440" s="16" t="s">
        <v>6926</v>
      </c>
    </row>
    <row r="441" spans="1:26" x14ac:dyDescent="0.3">
      <c r="A441" s="16">
        <v>440</v>
      </c>
      <c r="B441" s="16" t="s">
        <v>7569</v>
      </c>
      <c r="C441" s="17">
        <v>9780070411524</v>
      </c>
      <c r="D441" s="17">
        <v>9780070411524</v>
      </c>
      <c r="E441" s="16" t="s">
        <v>6920</v>
      </c>
      <c r="F441" s="16" t="s">
        <v>17</v>
      </c>
      <c r="G441" s="16" t="s">
        <v>17</v>
      </c>
      <c r="H441" s="16" t="s">
        <v>17</v>
      </c>
      <c r="I441" s="16" t="s">
        <v>17</v>
      </c>
      <c r="J441" s="16" t="s">
        <v>17</v>
      </c>
      <c r="K441" s="16" t="s">
        <v>558</v>
      </c>
      <c r="L441" s="16" t="s">
        <v>17</v>
      </c>
      <c r="M441" s="16" t="s">
        <v>7569</v>
      </c>
      <c r="N441" s="16" t="s">
        <v>17</v>
      </c>
      <c r="O441" s="16" t="s">
        <v>6921</v>
      </c>
      <c r="P441" s="16" t="s">
        <v>17</v>
      </c>
      <c r="Q441" s="16" t="s">
        <v>6922</v>
      </c>
      <c r="R441" s="16" t="s">
        <v>6923</v>
      </c>
      <c r="S441" s="16" t="s">
        <v>17</v>
      </c>
      <c r="T441" s="16" t="s">
        <v>6920</v>
      </c>
      <c r="U441" s="16" t="s">
        <v>17</v>
      </c>
      <c r="V441" s="16" t="s">
        <v>6929</v>
      </c>
      <c r="W441" s="16" t="s">
        <v>7009</v>
      </c>
      <c r="X441" s="16" t="s">
        <v>7569</v>
      </c>
      <c r="Y441" s="16" t="s">
        <v>17</v>
      </c>
      <c r="Z441" s="16" t="s">
        <v>6926</v>
      </c>
    </row>
    <row r="442" spans="1:26" x14ac:dyDescent="0.3">
      <c r="A442" s="16">
        <v>441</v>
      </c>
      <c r="B442" s="16" t="s">
        <v>928</v>
      </c>
      <c r="C442" s="17">
        <v>9780071477499</v>
      </c>
      <c r="D442" s="17">
        <v>9780071477499</v>
      </c>
      <c r="E442" s="16" t="s">
        <v>6920</v>
      </c>
      <c r="F442" s="16" t="s">
        <v>17</v>
      </c>
      <c r="G442" s="16" t="s">
        <v>17</v>
      </c>
      <c r="H442" s="16" t="s">
        <v>17</v>
      </c>
      <c r="I442" s="16" t="s">
        <v>17</v>
      </c>
      <c r="J442" s="16" t="s">
        <v>17</v>
      </c>
      <c r="K442" s="16" t="s">
        <v>930</v>
      </c>
      <c r="L442" s="16" t="s">
        <v>929</v>
      </c>
      <c r="M442" s="16" t="s">
        <v>928</v>
      </c>
      <c r="N442" s="16" t="s">
        <v>17</v>
      </c>
      <c r="O442" s="16" t="s">
        <v>6921</v>
      </c>
      <c r="P442" s="16" t="s">
        <v>17</v>
      </c>
      <c r="Q442" s="16" t="s">
        <v>6922</v>
      </c>
      <c r="R442" s="16" t="s">
        <v>6923</v>
      </c>
      <c r="S442" s="16" t="s">
        <v>17</v>
      </c>
      <c r="T442" s="16" t="s">
        <v>6920</v>
      </c>
      <c r="U442" s="16" t="s">
        <v>17</v>
      </c>
      <c r="V442" s="16" t="s">
        <v>7183</v>
      </c>
      <c r="W442" s="16" t="s">
        <v>17</v>
      </c>
      <c r="X442" s="16" t="s">
        <v>928</v>
      </c>
      <c r="Y442" s="16" t="s">
        <v>17</v>
      </c>
      <c r="Z442" s="16" t="s">
        <v>6926</v>
      </c>
    </row>
    <row r="443" spans="1:26" x14ac:dyDescent="0.3">
      <c r="A443" s="16">
        <v>442</v>
      </c>
      <c r="B443" s="16" t="s">
        <v>1438</v>
      </c>
      <c r="C443" s="17">
        <v>9780071386258</v>
      </c>
      <c r="D443" s="17">
        <v>9780071386258</v>
      </c>
      <c r="E443" s="16" t="s">
        <v>6920</v>
      </c>
      <c r="F443" s="16" t="s">
        <v>17</v>
      </c>
      <c r="G443" s="16" t="s">
        <v>17</v>
      </c>
      <c r="H443" s="16" t="s">
        <v>17</v>
      </c>
      <c r="I443" s="16" t="s">
        <v>17</v>
      </c>
      <c r="J443" s="16" t="s">
        <v>17</v>
      </c>
      <c r="K443" s="16" t="s">
        <v>1439</v>
      </c>
      <c r="L443" s="16" t="s">
        <v>324</v>
      </c>
      <c r="M443" s="16" t="s">
        <v>1438</v>
      </c>
      <c r="N443" s="16" t="s">
        <v>17</v>
      </c>
      <c r="O443" s="16" t="s">
        <v>6921</v>
      </c>
      <c r="P443" s="16" t="s">
        <v>17</v>
      </c>
      <c r="Q443" s="16" t="s">
        <v>6922</v>
      </c>
      <c r="R443" s="16" t="s">
        <v>6923</v>
      </c>
      <c r="S443" s="16" t="s">
        <v>17</v>
      </c>
      <c r="T443" s="16" t="s">
        <v>6920</v>
      </c>
      <c r="U443" s="16" t="s">
        <v>17</v>
      </c>
      <c r="V443" s="16" t="s">
        <v>7049</v>
      </c>
      <c r="W443" s="16" t="s">
        <v>17</v>
      </c>
      <c r="X443" s="16" t="s">
        <v>1438</v>
      </c>
      <c r="Y443" s="16" t="s">
        <v>17</v>
      </c>
      <c r="Z443" s="16" t="s">
        <v>6926</v>
      </c>
    </row>
    <row r="444" spans="1:26" x14ac:dyDescent="0.3">
      <c r="A444" s="16">
        <v>443</v>
      </c>
      <c r="B444" s="16" t="s">
        <v>323</v>
      </c>
      <c r="C444" s="17">
        <v>9780071389969</v>
      </c>
      <c r="D444" s="17">
        <v>9780071389969</v>
      </c>
      <c r="E444" s="16" t="s">
        <v>6920</v>
      </c>
      <c r="F444" s="16" t="s">
        <v>17</v>
      </c>
      <c r="G444" s="16" t="s">
        <v>17</v>
      </c>
      <c r="H444" s="16" t="s">
        <v>17</v>
      </c>
      <c r="I444" s="16" t="s">
        <v>17</v>
      </c>
      <c r="J444" s="16" t="s">
        <v>17</v>
      </c>
      <c r="K444" s="16" t="s">
        <v>325</v>
      </c>
      <c r="L444" s="16" t="s">
        <v>324</v>
      </c>
      <c r="M444" s="16" t="s">
        <v>323</v>
      </c>
      <c r="N444" s="16" t="s">
        <v>17</v>
      </c>
      <c r="O444" s="16" t="s">
        <v>6921</v>
      </c>
      <c r="P444" s="16" t="s">
        <v>17</v>
      </c>
      <c r="Q444" s="16" t="s">
        <v>6922</v>
      </c>
      <c r="R444" s="16" t="s">
        <v>6923</v>
      </c>
      <c r="S444" s="16" t="s">
        <v>17</v>
      </c>
      <c r="T444" s="16" t="s">
        <v>6920</v>
      </c>
      <c r="U444" s="16" t="s">
        <v>17</v>
      </c>
      <c r="V444" s="16" t="s">
        <v>7049</v>
      </c>
      <c r="W444" s="16" t="s">
        <v>17</v>
      </c>
      <c r="X444" s="16" t="s">
        <v>323</v>
      </c>
      <c r="Y444" s="16" t="s">
        <v>17</v>
      </c>
      <c r="Z444" s="16" t="s">
        <v>6926</v>
      </c>
    </row>
    <row r="445" spans="1:26" x14ac:dyDescent="0.3">
      <c r="A445" s="16">
        <v>444</v>
      </c>
      <c r="B445" s="16" t="s">
        <v>7588</v>
      </c>
      <c r="C445" s="17">
        <v>9780071626835</v>
      </c>
      <c r="D445" s="17">
        <v>9780071626835</v>
      </c>
      <c r="E445" s="16" t="s">
        <v>7459</v>
      </c>
      <c r="F445" s="16" t="s">
        <v>17</v>
      </c>
      <c r="G445" s="16" t="s">
        <v>17</v>
      </c>
      <c r="H445" s="16" t="s">
        <v>17</v>
      </c>
      <c r="I445" s="16" t="s">
        <v>17</v>
      </c>
      <c r="J445" s="16" t="s">
        <v>17</v>
      </c>
      <c r="K445" s="16" t="s">
        <v>578</v>
      </c>
      <c r="L445" s="16" t="s">
        <v>17</v>
      </c>
      <c r="M445" s="16" t="s">
        <v>7588</v>
      </c>
      <c r="N445" s="16" t="s">
        <v>17</v>
      </c>
      <c r="O445" s="16" t="s">
        <v>6921</v>
      </c>
      <c r="P445" s="16" t="s">
        <v>17</v>
      </c>
      <c r="Q445" s="16" t="s">
        <v>6922</v>
      </c>
      <c r="R445" s="16" t="s">
        <v>6923</v>
      </c>
      <c r="S445" s="16" t="s">
        <v>17</v>
      </c>
      <c r="T445" s="16" t="s">
        <v>7459</v>
      </c>
      <c r="U445" s="16" t="s">
        <v>17</v>
      </c>
      <c r="V445" s="16" t="s">
        <v>6929</v>
      </c>
      <c r="W445" s="16" t="s">
        <v>577</v>
      </c>
      <c r="X445" s="16" t="s">
        <v>7588</v>
      </c>
      <c r="Y445" s="16" t="s">
        <v>17</v>
      </c>
      <c r="Z445" s="16" t="s">
        <v>6926</v>
      </c>
    </row>
    <row r="446" spans="1:26" x14ac:dyDescent="0.3">
      <c r="A446" s="16">
        <v>445</v>
      </c>
      <c r="B446" s="16" t="s">
        <v>7258</v>
      </c>
      <c r="C446" s="17">
        <v>9780074455494</v>
      </c>
      <c r="D446" s="17">
        <v>9780074455494</v>
      </c>
      <c r="E446" s="16" t="s">
        <v>6920</v>
      </c>
      <c r="F446" s="16" t="s">
        <v>17</v>
      </c>
      <c r="G446" s="16" t="s">
        <v>17</v>
      </c>
      <c r="H446" s="16" t="s">
        <v>17</v>
      </c>
      <c r="I446" s="16" t="s">
        <v>17</v>
      </c>
      <c r="J446" s="16" t="s">
        <v>17</v>
      </c>
      <c r="K446" s="16" t="s">
        <v>290</v>
      </c>
      <c r="L446" s="16" t="s">
        <v>17</v>
      </c>
      <c r="M446" s="16" t="s">
        <v>7258</v>
      </c>
      <c r="N446" s="16" t="s">
        <v>17</v>
      </c>
      <c r="O446" s="16" t="s">
        <v>6921</v>
      </c>
      <c r="P446" s="16" t="s">
        <v>17</v>
      </c>
      <c r="Q446" s="16" t="s">
        <v>6922</v>
      </c>
      <c r="R446" s="16" t="s">
        <v>6923</v>
      </c>
      <c r="S446" s="16" t="s">
        <v>17</v>
      </c>
      <c r="T446" s="16" t="s">
        <v>6920</v>
      </c>
      <c r="U446" s="16" t="s">
        <v>17</v>
      </c>
      <c r="V446" s="16" t="s">
        <v>6929</v>
      </c>
      <c r="W446" s="16" t="s">
        <v>7259</v>
      </c>
      <c r="X446" s="16" t="s">
        <v>7258</v>
      </c>
      <c r="Y446" s="16" t="s">
        <v>17</v>
      </c>
      <c r="Z446" s="16" t="s">
        <v>6926</v>
      </c>
    </row>
    <row r="447" spans="1:26" x14ac:dyDescent="0.3">
      <c r="A447" s="16">
        <v>446</v>
      </c>
      <c r="B447" s="16" t="s">
        <v>8125</v>
      </c>
      <c r="C447" s="17">
        <v>9780071816458</v>
      </c>
      <c r="D447" s="17">
        <v>9780071816458</v>
      </c>
      <c r="E447" s="16" t="s">
        <v>7178</v>
      </c>
      <c r="F447" s="16" t="s">
        <v>17</v>
      </c>
      <c r="G447" s="16" t="s">
        <v>17</v>
      </c>
      <c r="H447" s="16" t="s">
        <v>17</v>
      </c>
      <c r="I447" s="16" t="s">
        <v>17</v>
      </c>
      <c r="J447" s="16" t="s">
        <v>17</v>
      </c>
      <c r="K447" s="16" t="s">
        <v>1213</v>
      </c>
      <c r="L447" s="16" t="s">
        <v>1211</v>
      </c>
      <c r="M447" s="16" t="s">
        <v>8125</v>
      </c>
      <c r="N447" s="16" t="s">
        <v>17</v>
      </c>
      <c r="O447" s="16" t="s">
        <v>6921</v>
      </c>
      <c r="P447" s="16" t="s">
        <v>17</v>
      </c>
      <c r="Q447" s="16" t="s">
        <v>6922</v>
      </c>
      <c r="R447" s="16" t="s">
        <v>6923</v>
      </c>
      <c r="S447" s="16" t="s">
        <v>17</v>
      </c>
      <c r="T447" s="16" t="s">
        <v>7178</v>
      </c>
      <c r="U447" s="16" t="s">
        <v>17</v>
      </c>
      <c r="V447" s="16" t="s">
        <v>6929</v>
      </c>
      <c r="W447" s="16" t="s">
        <v>17</v>
      </c>
      <c r="X447" s="16" t="s">
        <v>8125</v>
      </c>
      <c r="Y447" s="16" t="s">
        <v>17</v>
      </c>
      <c r="Z447" s="16" t="s">
        <v>6926</v>
      </c>
    </row>
    <row r="448" spans="1:26" x14ac:dyDescent="0.3">
      <c r="A448" s="16">
        <v>447</v>
      </c>
      <c r="B448" s="16" t="s">
        <v>1388</v>
      </c>
      <c r="C448" s="17">
        <v>9780071819800</v>
      </c>
      <c r="D448" s="17">
        <v>9780071819800</v>
      </c>
      <c r="E448" s="16" t="s">
        <v>7418</v>
      </c>
      <c r="F448" s="16" t="s">
        <v>17</v>
      </c>
      <c r="G448" s="16" t="s">
        <v>17</v>
      </c>
      <c r="H448" s="16" t="s">
        <v>17</v>
      </c>
      <c r="I448" s="16" t="s">
        <v>17</v>
      </c>
      <c r="J448" s="16" t="s">
        <v>17</v>
      </c>
      <c r="K448" s="16" t="s">
        <v>798</v>
      </c>
      <c r="L448" s="16" t="s">
        <v>7822</v>
      </c>
      <c r="M448" s="16" t="s">
        <v>1388</v>
      </c>
      <c r="N448" s="16" t="s">
        <v>17</v>
      </c>
      <c r="O448" s="16" t="s">
        <v>6921</v>
      </c>
      <c r="P448" s="16" t="s">
        <v>17</v>
      </c>
      <c r="Q448" s="16" t="s">
        <v>6922</v>
      </c>
      <c r="R448" s="16" t="s">
        <v>6923</v>
      </c>
      <c r="S448" s="16" t="s">
        <v>17</v>
      </c>
      <c r="T448" s="16" t="s">
        <v>7418</v>
      </c>
      <c r="U448" s="16" t="s">
        <v>17</v>
      </c>
      <c r="V448" s="16" t="s">
        <v>6924</v>
      </c>
      <c r="W448" s="16" t="s">
        <v>17</v>
      </c>
      <c r="X448" s="16" t="s">
        <v>1388</v>
      </c>
      <c r="Y448" s="16" t="s">
        <v>17</v>
      </c>
      <c r="Z448" s="16" t="s">
        <v>6926</v>
      </c>
    </row>
    <row r="449" spans="1:26" x14ac:dyDescent="0.3">
      <c r="A449" s="16">
        <v>448</v>
      </c>
      <c r="B449" s="16" t="s">
        <v>1388</v>
      </c>
      <c r="C449" s="17">
        <v>9780071376204</v>
      </c>
      <c r="D449" s="17">
        <v>9780071376204</v>
      </c>
      <c r="E449" s="16" t="s">
        <v>6920</v>
      </c>
      <c r="F449" s="16" t="s">
        <v>17</v>
      </c>
      <c r="G449" s="16" t="s">
        <v>17</v>
      </c>
      <c r="H449" s="16" t="s">
        <v>17</v>
      </c>
      <c r="I449" s="16" t="s">
        <v>17</v>
      </c>
      <c r="J449" s="16" t="s">
        <v>17</v>
      </c>
      <c r="K449" s="16" t="s">
        <v>1390</v>
      </c>
      <c r="L449" s="16" t="s">
        <v>1389</v>
      </c>
      <c r="M449" s="16" t="s">
        <v>1388</v>
      </c>
      <c r="N449" s="16" t="s">
        <v>17</v>
      </c>
      <c r="O449" s="16" t="s">
        <v>6921</v>
      </c>
      <c r="P449" s="16" t="s">
        <v>17</v>
      </c>
      <c r="Q449" s="16" t="s">
        <v>6922</v>
      </c>
      <c r="R449" s="16" t="s">
        <v>6923</v>
      </c>
      <c r="S449" s="16" t="s">
        <v>17</v>
      </c>
      <c r="T449" s="16" t="s">
        <v>6920</v>
      </c>
      <c r="U449" s="16" t="s">
        <v>17</v>
      </c>
      <c r="V449" s="16" t="s">
        <v>7049</v>
      </c>
      <c r="W449" s="16" t="s">
        <v>17</v>
      </c>
      <c r="X449" s="16" t="s">
        <v>1388</v>
      </c>
      <c r="Y449" s="16" t="s">
        <v>17</v>
      </c>
      <c r="Z449" s="16" t="s">
        <v>6926</v>
      </c>
    </row>
    <row r="450" spans="1:26" x14ac:dyDescent="0.3">
      <c r="A450" s="16">
        <v>449</v>
      </c>
      <c r="B450" s="16" t="s">
        <v>8241</v>
      </c>
      <c r="C450" s="17">
        <v>9780071818698</v>
      </c>
      <c r="D450" s="17">
        <v>9780071818698</v>
      </c>
      <c r="E450" s="16" t="s">
        <v>8242</v>
      </c>
      <c r="F450" s="16" t="s">
        <v>17</v>
      </c>
      <c r="G450" s="16" t="s">
        <v>17</v>
      </c>
      <c r="H450" s="16" t="s">
        <v>17</v>
      </c>
      <c r="I450" s="16" t="s">
        <v>17</v>
      </c>
      <c r="J450" s="16" t="s">
        <v>17</v>
      </c>
      <c r="K450" s="16" t="s">
        <v>1315</v>
      </c>
      <c r="L450" s="16" t="s">
        <v>888</v>
      </c>
      <c r="M450" s="16" t="s">
        <v>8241</v>
      </c>
      <c r="N450" s="16" t="s">
        <v>17</v>
      </c>
      <c r="O450" s="16" t="s">
        <v>6921</v>
      </c>
      <c r="P450" s="16" t="s">
        <v>17</v>
      </c>
      <c r="Q450" s="16" t="s">
        <v>6922</v>
      </c>
      <c r="R450" s="16" t="s">
        <v>6923</v>
      </c>
      <c r="S450" s="16" t="s">
        <v>17</v>
      </c>
      <c r="T450" s="16" t="s">
        <v>8242</v>
      </c>
      <c r="U450" s="16" t="s">
        <v>17</v>
      </c>
      <c r="V450" s="16" t="s">
        <v>6924</v>
      </c>
      <c r="W450" s="16" t="s">
        <v>17</v>
      </c>
      <c r="X450" s="16" t="s">
        <v>8241</v>
      </c>
      <c r="Y450" s="16" t="s">
        <v>17</v>
      </c>
      <c r="Z450" s="16" t="s">
        <v>6926</v>
      </c>
    </row>
    <row r="451" spans="1:26" x14ac:dyDescent="0.3">
      <c r="A451" s="16">
        <v>450</v>
      </c>
      <c r="B451" s="16" t="s">
        <v>7119</v>
      </c>
      <c r="C451" s="17">
        <v>9780070616233</v>
      </c>
      <c r="D451" s="17">
        <v>9780070616233</v>
      </c>
      <c r="E451" s="16" t="s">
        <v>6920</v>
      </c>
      <c r="F451" s="16" t="s">
        <v>17</v>
      </c>
      <c r="G451" s="16" t="s">
        <v>17</v>
      </c>
      <c r="H451" s="16" t="s">
        <v>17</v>
      </c>
      <c r="I451" s="16" t="s">
        <v>17</v>
      </c>
      <c r="J451" s="16" t="s">
        <v>17</v>
      </c>
      <c r="K451" s="16" t="s">
        <v>180</v>
      </c>
      <c r="L451" s="16" t="s">
        <v>7120</v>
      </c>
      <c r="M451" s="16" t="s">
        <v>7119</v>
      </c>
      <c r="N451" s="16" t="s">
        <v>17</v>
      </c>
      <c r="O451" s="16" t="s">
        <v>6921</v>
      </c>
      <c r="P451" s="16" t="s">
        <v>17</v>
      </c>
      <c r="Q451" s="16" t="s">
        <v>6922</v>
      </c>
      <c r="R451" s="16" t="s">
        <v>6923</v>
      </c>
      <c r="S451" s="16" t="s">
        <v>17</v>
      </c>
      <c r="T451" s="16" t="s">
        <v>6920</v>
      </c>
      <c r="U451" s="16" t="s">
        <v>17</v>
      </c>
      <c r="V451" s="16" t="s">
        <v>6929</v>
      </c>
      <c r="W451" s="16" t="s">
        <v>17</v>
      </c>
      <c r="X451" s="16" t="s">
        <v>7119</v>
      </c>
      <c r="Y451" s="16" t="s">
        <v>17</v>
      </c>
      <c r="Z451" s="16" t="s">
        <v>6926</v>
      </c>
    </row>
    <row r="452" spans="1:26" x14ac:dyDescent="0.3">
      <c r="A452" s="16">
        <v>451</v>
      </c>
      <c r="B452" s="16" t="s">
        <v>7190</v>
      </c>
      <c r="C452" s="17">
        <v>9780070617681</v>
      </c>
      <c r="D452" s="17">
        <v>9780070617681</v>
      </c>
      <c r="E452" s="16" t="s">
        <v>6968</v>
      </c>
      <c r="F452" s="16" t="s">
        <v>17</v>
      </c>
      <c r="G452" s="16" t="s">
        <v>17</v>
      </c>
      <c r="H452" s="16" t="s">
        <v>17</v>
      </c>
      <c r="I452" s="16" t="s">
        <v>17</v>
      </c>
      <c r="J452" s="16" t="s">
        <v>17</v>
      </c>
      <c r="K452" s="16" t="s">
        <v>235</v>
      </c>
      <c r="L452" s="16" t="s">
        <v>7191</v>
      </c>
      <c r="M452" s="16" t="s">
        <v>7190</v>
      </c>
      <c r="N452" s="16" t="s">
        <v>17</v>
      </c>
      <c r="O452" s="16" t="s">
        <v>6921</v>
      </c>
      <c r="P452" s="16" t="s">
        <v>17</v>
      </c>
      <c r="Q452" s="16" t="s">
        <v>6922</v>
      </c>
      <c r="R452" s="16" t="s">
        <v>6923</v>
      </c>
      <c r="S452" s="16" t="s">
        <v>17</v>
      </c>
      <c r="T452" s="16" t="s">
        <v>6968</v>
      </c>
      <c r="U452" s="16" t="s">
        <v>17</v>
      </c>
      <c r="V452" s="16" t="s">
        <v>6929</v>
      </c>
      <c r="W452" s="16" t="s">
        <v>17</v>
      </c>
      <c r="X452" s="16" t="s">
        <v>7190</v>
      </c>
      <c r="Y452" s="16" t="s">
        <v>17</v>
      </c>
      <c r="Z452" s="16" t="s">
        <v>6926</v>
      </c>
    </row>
    <row r="453" spans="1:26" x14ac:dyDescent="0.3">
      <c r="A453" s="16">
        <v>452</v>
      </c>
      <c r="B453" s="16" t="s">
        <v>7639</v>
      </c>
      <c r="C453" s="17">
        <v>9780071548663</v>
      </c>
      <c r="D453" s="17">
        <v>9780071548663</v>
      </c>
      <c r="E453" s="16" t="s">
        <v>6920</v>
      </c>
      <c r="F453" s="16" t="s">
        <v>17</v>
      </c>
      <c r="G453" s="16" t="s">
        <v>17</v>
      </c>
      <c r="H453" s="16" t="s">
        <v>17</v>
      </c>
      <c r="I453" s="16" t="s">
        <v>17</v>
      </c>
      <c r="J453" s="16" t="s">
        <v>17</v>
      </c>
      <c r="K453" s="16" t="s">
        <v>632</v>
      </c>
      <c r="L453" s="16" t="s">
        <v>7640</v>
      </c>
      <c r="M453" s="16" t="s">
        <v>7639</v>
      </c>
      <c r="N453" s="16" t="s">
        <v>17</v>
      </c>
      <c r="O453" s="16" t="s">
        <v>6921</v>
      </c>
      <c r="P453" s="16" t="s">
        <v>17</v>
      </c>
      <c r="Q453" s="16" t="s">
        <v>6922</v>
      </c>
      <c r="R453" s="16" t="s">
        <v>6923</v>
      </c>
      <c r="S453" s="16" t="s">
        <v>17</v>
      </c>
      <c r="T453" s="16" t="s">
        <v>6920</v>
      </c>
      <c r="U453" s="16" t="s">
        <v>17</v>
      </c>
      <c r="V453" s="16" t="s">
        <v>7024</v>
      </c>
      <c r="W453" s="16" t="s">
        <v>17</v>
      </c>
      <c r="X453" s="16" t="s">
        <v>7639</v>
      </c>
      <c r="Y453" s="16" t="s">
        <v>17</v>
      </c>
      <c r="Z453" s="16" t="s">
        <v>6926</v>
      </c>
    </row>
    <row r="454" spans="1:26" x14ac:dyDescent="0.3">
      <c r="A454" s="16">
        <v>453</v>
      </c>
      <c r="B454" s="16" t="s">
        <v>7605</v>
      </c>
      <c r="C454" s="17">
        <v>9780071737050</v>
      </c>
      <c r="D454" s="17">
        <v>9780071737050</v>
      </c>
      <c r="E454" s="16" t="s">
        <v>6920</v>
      </c>
      <c r="F454" s="16" t="s">
        <v>17</v>
      </c>
      <c r="G454" s="16" t="s">
        <v>17</v>
      </c>
      <c r="H454" s="16" t="s">
        <v>17</v>
      </c>
      <c r="I454" s="16" t="s">
        <v>17</v>
      </c>
      <c r="J454" s="16" t="s">
        <v>17</v>
      </c>
      <c r="K454" s="16" t="s">
        <v>598</v>
      </c>
      <c r="L454" s="16" t="s">
        <v>17</v>
      </c>
      <c r="M454" s="16" t="s">
        <v>7605</v>
      </c>
      <c r="N454" s="16" t="s">
        <v>17</v>
      </c>
      <c r="O454" s="16" t="s">
        <v>6921</v>
      </c>
      <c r="P454" s="16" t="s">
        <v>17</v>
      </c>
      <c r="Q454" s="16" t="s">
        <v>6922</v>
      </c>
      <c r="R454" s="16" t="s">
        <v>6923</v>
      </c>
      <c r="S454" s="16" t="s">
        <v>17</v>
      </c>
      <c r="T454" s="16" t="s">
        <v>6920</v>
      </c>
      <c r="U454" s="16" t="s">
        <v>17</v>
      </c>
      <c r="V454" s="16" t="s">
        <v>6929</v>
      </c>
      <c r="W454" s="16" t="s">
        <v>17</v>
      </c>
      <c r="X454" s="16" t="s">
        <v>7605</v>
      </c>
      <c r="Y454" s="16" t="s">
        <v>17</v>
      </c>
      <c r="Z454" s="16" t="s">
        <v>6926</v>
      </c>
    </row>
    <row r="455" spans="1:26" x14ac:dyDescent="0.3">
      <c r="A455" s="16">
        <v>454</v>
      </c>
      <c r="B455" s="16" t="s">
        <v>7126</v>
      </c>
      <c r="C455" s="17">
        <v>9780071850131</v>
      </c>
      <c r="D455" s="17">
        <v>9780071850131</v>
      </c>
      <c r="E455" s="16" t="s">
        <v>7127</v>
      </c>
      <c r="F455" s="16" t="s">
        <v>17</v>
      </c>
      <c r="G455" s="16" t="s">
        <v>17</v>
      </c>
      <c r="H455" s="16" t="s">
        <v>17</v>
      </c>
      <c r="I455" s="16" t="s">
        <v>17</v>
      </c>
      <c r="J455" s="16" t="s">
        <v>17</v>
      </c>
      <c r="K455" s="16" t="s">
        <v>186</v>
      </c>
      <c r="L455" s="16" t="s">
        <v>7128</v>
      </c>
      <c r="M455" s="16" t="s">
        <v>7126</v>
      </c>
      <c r="N455" s="16" t="s">
        <v>17</v>
      </c>
      <c r="O455" s="16" t="s">
        <v>6921</v>
      </c>
      <c r="P455" s="16" t="s">
        <v>17</v>
      </c>
      <c r="Q455" s="16" t="s">
        <v>6922</v>
      </c>
      <c r="R455" s="16" t="s">
        <v>6923</v>
      </c>
      <c r="S455" s="16" t="s">
        <v>17</v>
      </c>
      <c r="T455" s="16" t="s">
        <v>7127</v>
      </c>
      <c r="U455" s="16" t="s">
        <v>17</v>
      </c>
      <c r="V455" s="16" t="s">
        <v>6924</v>
      </c>
      <c r="W455" s="16" t="s">
        <v>17</v>
      </c>
      <c r="X455" s="16" t="s">
        <v>7126</v>
      </c>
      <c r="Y455" s="16" t="s">
        <v>17</v>
      </c>
      <c r="Z455" s="16" t="s">
        <v>6926</v>
      </c>
    </row>
    <row r="456" spans="1:26" x14ac:dyDescent="0.3">
      <c r="A456" s="16">
        <v>455</v>
      </c>
      <c r="B456" s="16" t="s">
        <v>817</v>
      </c>
      <c r="C456" s="17">
        <v>9781259584404</v>
      </c>
      <c r="D456" s="17">
        <v>9781259584404</v>
      </c>
      <c r="E456" s="16" t="s">
        <v>7124</v>
      </c>
      <c r="F456" s="16" t="s">
        <v>17</v>
      </c>
      <c r="G456" s="16" t="s">
        <v>17</v>
      </c>
      <c r="H456" s="16" t="s">
        <v>17</v>
      </c>
      <c r="I456" s="16" t="s">
        <v>17</v>
      </c>
      <c r="J456" s="16" t="s">
        <v>17</v>
      </c>
      <c r="K456" s="16" t="s">
        <v>819</v>
      </c>
      <c r="L456" s="16" t="s">
        <v>818</v>
      </c>
      <c r="M456" s="16" t="s">
        <v>817</v>
      </c>
      <c r="N456" s="16" t="s">
        <v>17</v>
      </c>
      <c r="O456" s="16" t="s">
        <v>6921</v>
      </c>
      <c r="P456" s="16" t="s">
        <v>17</v>
      </c>
      <c r="Q456" s="16" t="s">
        <v>6922</v>
      </c>
      <c r="R456" s="16" t="s">
        <v>6923</v>
      </c>
      <c r="S456" s="16" t="s">
        <v>17</v>
      </c>
      <c r="T456" s="16" t="s">
        <v>7124</v>
      </c>
      <c r="U456" s="16" t="s">
        <v>17</v>
      </c>
      <c r="V456" s="16" t="s">
        <v>7049</v>
      </c>
      <c r="W456" s="16" t="s">
        <v>17</v>
      </c>
      <c r="X456" s="16" t="s">
        <v>817</v>
      </c>
      <c r="Y456" s="16" t="s">
        <v>17</v>
      </c>
      <c r="Z456" s="16" t="s">
        <v>6926</v>
      </c>
    </row>
    <row r="457" spans="1:26" x14ac:dyDescent="0.3">
      <c r="A457" s="16">
        <v>456</v>
      </c>
      <c r="B457" s="16" t="s">
        <v>3702</v>
      </c>
      <c r="C457" s="17">
        <v>9780071748759</v>
      </c>
      <c r="D457" s="17">
        <v>9780071748759</v>
      </c>
      <c r="E457" s="16" t="s">
        <v>7794</v>
      </c>
      <c r="F457" s="16" t="s">
        <v>17</v>
      </c>
      <c r="G457" s="16" t="s">
        <v>17</v>
      </c>
      <c r="H457" s="16" t="s">
        <v>17</v>
      </c>
      <c r="I457" s="16" t="s">
        <v>17</v>
      </c>
      <c r="J457" s="16" t="s">
        <v>17</v>
      </c>
      <c r="K457" s="16" t="s">
        <v>769</v>
      </c>
      <c r="L457" s="16" t="s">
        <v>617</v>
      </c>
      <c r="M457" s="16" t="s">
        <v>3702</v>
      </c>
      <c r="N457" s="16" t="s">
        <v>17</v>
      </c>
      <c r="O457" s="16" t="s">
        <v>6921</v>
      </c>
      <c r="P457" s="16" t="s">
        <v>17</v>
      </c>
      <c r="Q457" s="16" t="s">
        <v>6922</v>
      </c>
      <c r="R457" s="16" t="s">
        <v>6923</v>
      </c>
      <c r="S457" s="16" t="s">
        <v>17</v>
      </c>
      <c r="T457" s="16" t="s">
        <v>7794</v>
      </c>
      <c r="U457" s="16" t="s">
        <v>17</v>
      </c>
      <c r="V457" s="16" t="s">
        <v>6929</v>
      </c>
      <c r="W457" s="16" t="s">
        <v>17</v>
      </c>
      <c r="X457" s="16" t="s">
        <v>3702</v>
      </c>
      <c r="Y457" s="16" t="s">
        <v>17</v>
      </c>
      <c r="Z457" s="16" t="s">
        <v>6926</v>
      </c>
    </row>
    <row r="458" spans="1:26" x14ac:dyDescent="0.3">
      <c r="A458" s="16">
        <v>457</v>
      </c>
      <c r="B458" s="16" t="s">
        <v>7155</v>
      </c>
      <c r="C458" s="17">
        <v>9780071599313</v>
      </c>
      <c r="D458" s="17">
        <v>9780071599313</v>
      </c>
      <c r="E458" s="16" t="s">
        <v>6920</v>
      </c>
      <c r="F458" s="16" t="s">
        <v>17</v>
      </c>
      <c r="G458" s="16" t="s">
        <v>17</v>
      </c>
      <c r="H458" s="16" t="s">
        <v>17</v>
      </c>
      <c r="I458" s="16" t="s">
        <v>17</v>
      </c>
      <c r="J458" s="16" t="s">
        <v>17</v>
      </c>
      <c r="K458" s="16" t="s">
        <v>207</v>
      </c>
      <c r="L458" s="16" t="s">
        <v>7156</v>
      </c>
      <c r="M458" s="16" t="s">
        <v>7155</v>
      </c>
      <c r="N458" s="16" t="s">
        <v>17</v>
      </c>
      <c r="O458" s="16" t="s">
        <v>6921</v>
      </c>
      <c r="P458" s="16" t="s">
        <v>17</v>
      </c>
      <c r="Q458" s="16" t="s">
        <v>6922</v>
      </c>
      <c r="R458" s="16" t="s">
        <v>6923</v>
      </c>
      <c r="S458" s="16" t="s">
        <v>17</v>
      </c>
      <c r="T458" s="16" t="s">
        <v>6920</v>
      </c>
      <c r="U458" s="16" t="s">
        <v>17</v>
      </c>
      <c r="V458" s="16" t="s">
        <v>6929</v>
      </c>
      <c r="W458" s="16" t="s">
        <v>17</v>
      </c>
      <c r="X458" s="16" t="s">
        <v>7155</v>
      </c>
      <c r="Y458" s="16" t="s">
        <v>17</v>
      </c>
      <c r="Z458" s="16" t="s">
        <v>6926</v>
      </c>
    </row>
    <row r="459" spans="1:26" x14ac:dyDescent="0.3">
      <c r="A459" s="16">
        <v>458</v>
      </c>
      <c r="B459" s="16" t="s">
        <v>8293</v>
      </c>
      <c r="C459" s="17">
        <v>9780071837514</v>
      </c>
      <c r="D459" s="17">
        <v>9780071837514</v>
      </c>
      <c r="E459" s="16" t="s">
        <v>6987</v>
      </c>
      <c r="F459" s="16" t="s">
        <v>17</v>
      </c>
      <c r="G459" s="16" t="s">
        <v>17</v>
      </c>
      <c r="H459" s="16" t="s">
        <v>17</v>
      </c>
      <c r="I459" s="16" t="s">
        <v>17</v>
      </c>
      <c r="J459" s="16" t="s">
        <v>17</v>
      </c>
      <c r="K459" s="16" t="s">
        <v>1357</v>
      </c>
      <c r="L459" s="16" t="s">
        <v>8294</v>
      </c>
      <c r="M459" s="16" t="s">
        <v>8293</v>
      </c>
      <c r="N459" s="16" t="s">
        <v>17</v>
      </c>
      <c r="O459" s="16" t="s">
        <v>6921</v>
      </c>
      <c r="P459" s="16" t="s">
        <v>17</v>
      </c>
      <c r="Q459" s="16" t="s">
        <v>6922</v>
      </c>
      <c r="R459" s="16" t="s">
        <v>6923</v>
      </c>
      <c r="S459" s="16" t="s">
        <v>17</v>
      </c>
      <c r="T459" s="16" t="s">
        <v>6987</v>
      </c>
      <c r="U459" s="16" t="s">
        <v>17</v>
      </c>
      <c r="V459" s="16" t="s">
        <v>6929</v>
      </c>
      <c r="W459" s="16" t="s">
        <v>17</v>
      </c>
      <c r="X459" s="16" t="s">
        <v>8293</v>
      </c>
      <c r="Y459" s="16" t="s">
        <v>17</v>
      </c>
      <c r="Z459" s="16" t="s">
        <v>6926</v>
      </c>
    </row>
    <row r="460" spans="1:26" x14ac:dyDescent="0.3">
      <c r="A460" s="16">
        <v>459</v>
      </c>
      <c r="B460" s="16" t="s">
        <v>7985</v>
      </c>
      <c r="C460" s="17">
        <v>9781260116106</v>
      </c>
      <c r="D460" s="17">
        <v>9781260116106</v>
      </c>
      <c r="E460" s="16" t="s">
        <v>7986</v>
      </c>
      <c r="F460" s="16" t="s">
        <v>17</v>
      </c>
      <c r="G460" s="16" t="s">
        <v>17</v>
      </c>
      <c r="H460" s="16" t="s">
        <v>17</v>
      </c>
      <c r="I460" s="16" t="s">
        <v>17</v>
      </c>
      <c r="J460" s="16" t="s">
        <v>17</v>
      </c>
      <c r="K460" s="16" t="s">
        <v>1025</v>
      </c>
      <c r="L460" s="16" t="s">
        <v>7987</v>
      </c>
      <c r="M460" s="16" t="s">
        <v>7985</v>
      </c>
      <c r="N460" s="16" t="s">
        <v>17</v>
      </c>
      <c r="O460" s="16" t="s">
        <v>6921</v>
      </c>
      <c r="P460" s="16" t="s">
        <v>17</v>
      </c>
      <c r="Q460" s="16" t="s">
        <v>6922</v>
      </c>
      <c r="R460" s="16" t="s">
        <v>6923</v>
      </c>
      <c r="S460" s="16" t="s">
        <v>17</v>
      </c>
      <c r="T460" s="16" t="s">
        <v>7986</v>
      </c>
      <c r="U460" s="16" t="s">
        <v>17</v>
      </c>
      <c r="V460" s="16" t="s">
        <v>6924</v>
      </c>
      <c r="W460" s="16" t="s">
        <v>17</v>
      </c>
      <c r="X460" s="16" t="s">
        <v>7985</v>
      </c>
      <c r="Y460" s="16" t="s">
        <v>17</v>
      </c>
      <c r="Z460" s="16" t="s">
        <v>6926</v>
      </c>
    </row>
    <row r="461" spans="1:26" x14ac:dyDescent="0.3">
      <c r="A461" s="16">
        <v>460</v>
      </c>
      <c r="B461" s="16" t="s">
        <v>8390</v>
      </c>
      <c r="C461" s="17">
        <v>9780071457927</v>
      </c>
      <c r="D461" s="17">
        <v>9780071457927</v>
      </c>
      <c r="E461" s="16" t="s">
        <v>6920</v>
      </c>
      <c r="F461" s="16" t="s">
        <v>17</v>
      </c>
      <c r="G461" s="16" t="s">
        <v>17</v>
      </c>
      <c r="H461" s="16" t="s">
        <v>17</v>
      </c>
      <c r="I461" s="16" t="s">
        <v>17</v>
      </c>
      <c r="J461" s="16" t="s">
        <v>17</v>
      </c>
      <c r="K461" s="16" t="s">
        <v>1578</v>
      </c>
      <c r="L461" s="16" t="s">
        <v>17</v>
      </c>
      <c r="M461" s="16" t="s">
        <v>8390</v>
      </c>
      <c r="N461" s="16" t="s">
        <v>17</v>
      </c>
      <c r="O461" s="16" t="s">
        <v>6921</v>
      </c>
      <c r="P461" s="16" t="s">
        <v>17</v>
      </c>
      <c r="Q461" s="16" t="s">
        <v>6922</v>
      </c>
      <c r="R461" s="16" t="s">
        <v>6923</v>
      </c>
      <c r="S461" s="16" t="s">
        <v>17</v>
      </c>
      <c r="T461" s="16" t="s">
        <v>6920</v>
      </c>
      <c r="U461" s="16" t="s">
        <v>17</v>
      </c>
      <c r="V461" s="16" t="s">
        <v>6929</v>
      </c>
      <c r="W461" s="16" t="s">
        <v>1577</v>
      </c>
      <c r="X461" s="16" t="s">
        <v>8390</v>
      </c>
      <c r="Y461" s="16" t="s">
        <v>17</v>
      </c>
      <c r="Z461" s="16" t="s">
        <v>6926</v>
      </c>
    </row>
    <row r="462" spans="1:26" x14ac:dyDescent="0.3">
      <c r="A462" s="16">
        <v>461</v>
      </c>
      <c r="B462" s="16" t="s">
        <v>7246</v>
      </c>
      <c r="C462" s="17">
        <v>9781259058462</v>
      </c>
      <c r="D462" s="17">
        <v>9781259058462</v>
      </c>
      <c r="E462" s="16" t="s">
        <v>7178</v>
      </c>
      <c r="F462" s="16" t="s">
        <v>17</v>
      </c>
      <c r="G462" s="16" t="s">
        <v>17</v>
      </c>
      <c r="H462" s="16" t="s">
        <v>17</v>
      </c>
      <c r="I462" s="16" t="s">
        <v>17</v>
      </c>
      <c r="J462" s="16" t="s">
        <v>17</v>
      </c>
      <c r="K462" s="16" t="s">
        <v>279</v>
      </c>
      <c r="L462" s="16" t="s">
        <v>7247</v>
      </c>
      <c r="M462" s="16" t="s">
        <v>7246</v>
      </c>
      <c r="N462" s="16" t="s">
        <v>17</v>
      </c>
      <c r="O462" s="16" t="s">
        <v>6921</v>
      </c>
      <c r="P462" s="16" t="s">
        <v>17</v>
      </c>
      <c r="Q462" s="16" t="s">
        <v>6922</v>
      </c>
      <c r="R462" s="16" t="s">
        <v>6923</v>
      </c>
      <c r="S462" s="16" t="s">
        <v>17</v>
      </c>
      <c r="T462" s="16" t="s">
        <v>7178</v>
      </c>
      <c r="U462" s="16" t="s">
        <v>17</v>
      </c>
      <c r="V462" s="16" t="s">
        <v>6929</v>
      </c>
      <c r="W462" s="16" t="s">
        <v>17</v>
      </c>
      <c r="X462" s="16" t="s">
        <v>7246</v>
      </c>
      <c r="Y462" s="16" t="s">
        <v>17</v>
      </c>
      <c r="Z462" s="16" t="s">
        <v>6926</v>
      </c>
    </row>
    <row r="463" spans="1:26" x14ac:dyDescent="0.3">
      <c r="A463" s="16">
        <v>462</v>
      </c>
      <c r="B463" s="16" t="s">
        <v>8134</v>
      </c>
      <c r="C463" s="17">
        <v>9781260458961</v>
      </c>
      <c r="D463" s="17">
        <v>9781260458961</v>
      </c>
      <c r="E463" s="16" t="s">
        <v>7375</v>
      </c>
      <c r="F463" s="16" t="s">
        <v>17</v>
      </c>
      <c r="G463" s="16" t="s">
        <v>17</v>
      </c>
      <c r="H463" s="16" t="s">
        <v>17</v>
      </c>
      <c r="I463" s="16" t="s">
        <v>17</v>
      </c>
      <c r="J463" s="16" t="s">
        <v>17</v>
      </c>
      <c r="K463" s="16" t="s">
        <v>1225</v>
      </c>
      <c r="L463" s="16" t="s">
        <v>8135</v>
      </c>
      <c r="M463" s="16" t="s">
        <v>8134</v>
      </c>
      <c r="N463" s="16" t="s">
        <v>17</v>
      </c>
      <c r="O463" s="16" t="s">
        <v>6921</v>
      </c>
      <c r="P463" s="16" t="s">
        <v>17</v>
      </c>
      <c r="Q463" s="16" t="s">
        <v>6922</v>
      </c>
      <c r="R463" s="16" t="s">
        <v>6923</v>
      </c>
      <c r="S463" s="16" t="s">
        <v>17</v>
      </c>
      <c r="T463" s="16" t="s">
        <v>7375</v>
      </c>
      <c r="U463" s="16" t="s">
        <v>17</v>
      </c>
      <c r="V463" s="16" t="s">
        <v>6929</v>
      </c>
      <c r="W463" s="16" t="s">
        <v>17</v>
      </c>
      <c r="X463" s="16" t="s">
        <v>8134</v>
      </c>
      <c r="Y463" s="16" t="s">
        <v>17</v>
      </c>
      <c r="Z463" s="16" t="s">
        <v>6926</v>
      </c>
    </row>
    <row r="464" spans="1:26" x14ac:dyDescent="0.3">
      <c r="A464" s="16">
        <v>463</v>
      </c>
      <c r="B464" s="16" t="s">
        <v>8205</v>
      </c>
      <c r="C464" s="17">
        <v>9781259861901</v>
      </c>
      <c r="D464" s="17">
        <v>9781259861901</v>
      </c>
      <c r="E464" s="16" t="s">
        <v>8206</v>
      </c>
      <c r="F464" s="16" t="s">
        <v>17</v>
      </c>
      <c r="G464" s="16" t="s">
        <v>17</v>
      </c>
      <c r="H464" s="16" t="s">
        <v>17</v>
      </c>
      <c r="I464" s="16" t="s">
        <v>17</v>
      </c>
      <c r="J464" s="16" t="s">
        <v>17</v>
      </c>
      <c r="K464" s="16" t="s">
        <v>1284</v>
      </c>
      <c r="L464" s="16" t="s">
        <v>8207</v>
      </c>
      <c r="M464" s="16" t="s">
        <v>8205</v>
      </c>
      <c r="N464" s="16" t="s">
        <v>17</v>
      </c>
      <c r="O464" s="16" t="s">
        <v>6921</v>
      </c>
      <c r="P464" s="16" t="s">
        <v>17</v>
      </c>
      <c r="Q464" s="16" t="s">
        <v>6922</v>
      </c>
      <c r="R464" s="16" t="s">
        <v>6923</v>
      </c>
      <c r="S464" s="16" t="s">
        <v>17</v>
      </c>
      <c r="T464" s="16" t="s">
        <v>8206</v>
      </c>
      <c r="U464" s="16" t="s">
        <v>17</v>
      </c>
      <c r="V464" s="16" t="s">
        <v>7024</v>
      </c>
      <c r="W464" s="16" t="s">
        <v>17</v>
      </c>
      <c r="X464" s="16" t="s">
        <v>8205</v>
      </c>
      <c r="Y464" s="16" t="s">
        <v>17</v>
      </c>
      <c r="Z464" s="16" t="s">
        <v>6926</v>
      </c>
    </row>
    <row r="465" spans="1:26" x14ac:dyDescent="0.3">
      <c r="A465" s="16">
        <v>464</v>
      </c>
      <c r="B465" s="16" t="s">
        <v>804</v>
      </c>
      <c r="C465" s="17">
        <v>9780072466850</v>
      </c>
      <c r="D465" s="17">
        <v>9780072466850</v>
      </c>
      <c r="E465" s="16" t="s">
        <v>7314</v>
      </c>
      <c r="F465" s="16" t="s">
        <v>17</v>
      </c>
      <c r="G465" s="16" t="s">
        <v>17</v>
      </c>
      <c r="H465" s="16" t="s">
        <v>17</v>
      </c>
      <c r="I465" s="16" t="s">
        <v>17</v>
      </c>
      <c r="J465" s="16" t="s">
        <v>17</v>
      </c>
      <c r="K465" s="16" t="s">
        <v>806</v>
      </c>
      <c r="L465" s="16" t="s">
        <v>805</v>
      </c>
      <c r="M465" s="16" t="s">
        <v>804</v>
      </c>
      <c r="N465" s="16" t="s">
        <v>17</v>
      </c>
      <c r="O465" s="16" t="s">
        <v>6921</v>
      </c>
      <c r="P465" s="16" t="s">
        <v>17</v>
      </c>
      <c r="Q465" s="16" t="s">
        <v>6922</v>
      </c>
      <c r="R465" s="16" t="s">
        <v>6923</v>
      </c>
      <c r="S465" s="16" t="s">
        <v>17</v>
      </c>
      <c r="T465" s="16" t="s">
        <v>7314</v>
      </c>
      <c r="U465" s="16" t="s">
        <v>17</v>
      </c>
      <c r="V465" s="16" t="s">
        <v>7826</v>
      </c>
      <c r="W465" s="16" t="s">
        <v>17</v>
      </c>
      <c r="X465" s="16" t="s">
        <v>804</v>
      </c>
      <c r="Y465" s="16" t="s">
        <v>17</v>
      </c>
      <c r="Z465" s="16" t="s">
        <v>6926</v>
      </c>
    </row>
    <row r="466" spans="1:26" x14ac:dyDescent="0.3">
      <c r="A466" s="16">
        <v>465</v>
      </c>
      <c r="B466" s="16" t="s">
        <v>7129</v>
      </c>
      <c r="C466" s="17">
        <v>9780071850445</v>
      </c>
      <c r="D466" s="17">
        <v>9780071850445</v>
      </c>
      <c r="E466" s="16" t="s">
        <v>6991</v>
      </c>
      <c r="F466" s="16" t="s">
        <v>17</v>
      </c>
      <c r="G466" s="16" t="s">
        <v>17</v>
      </c>
      <c r="H466" s="16" t="s">
        <v>17</v>
      </c>
      <c r="I466" s="16" t="s">
        <v>17</v>
      </c>
      <c r="J466" s="16" t="s">
        <v>17</v>
      </c>
      <c r="K466" s="16" t="s">
        <v>188</v>
      </c>
      <c r="L466" s="16" t="s">
        <v>17</v>
      </c>
      <c r="M466" s="16" t="s">
        <v>7129</v>
      </c>
      <c r="N466" s="16" t="s">
        <v>17</v>
      </c>
      <c r="O466" s="16" t="s">
        <v>6921</v>
      </c>
      <c r="P466" s="16" t="s">
        <v>17</v>
      </c>
      <c r="Q466" s="16" t="s">
        <v>6922</v>
      </c>
      <c r="R466" s="16" t="s">
        <v>6923</v>
      </c>
      <c r="S466" s="16" t="s">
        <v>17</v>
      </c>
      <c r="T466" s="16" t="s">
        <v>6991</v>
      </c>
      <c r="U466" s="16" t="s">
        <v>17</v>
      </c>
      <c r="V466" s="16" t="s">
        <v>6924</v>
      </c>
      <c r="W466" s="16" t="s">
        <v>17</v>
      </c>
      <c r="X466" s="16" t="s">
        <v>7129</v>
      </c>
      <c r="Y466" s="16" t="s">
        <v>17</v>
      </c>
      <c r="Z466" s="16" t="s">
        <v>6926</v>
      </c>
    </row>
    <row r="467" spans="1:26" x14ac:dyDescent="0.3">
      <c r="A467" s="16">
        <v>466</v>
      </c>
      <c r="B467" s="16" t="s">
        <v>7357</v>
      </c>
      <c r="C467" s="17">
        <v>9781260463552</v>
      </c>
      <c r="D467" s="17">
        <v>9781260463552</v>
      </c>
      <c r="E467" s="16" t="s">
        <v>7358</v>
      </c>
      <c r="F467" s="16" t="s">
        <v>17</v>
      </c>
      <c r="G467" s="16" t="s">
        <v>17</v>
      </c>
      <c r="H467" s="16" t="s">
        <v>17</v>
      </c>
      <c r="I467" s="16" t="s">
        <v>17</v>
      </c>
      <c r="J467" s="16" t="s">
        <v>17</v>
      </c>
      <c r="K467" s="16" t="s">
        <v>376</v>
      </c>
      <c r="L467" s="16" t="s">
        <v>375</v>
      </c>
      <c r="M467" s="16" t="s">
        <v>7357</v>
      </c>
      <c r="N467" s="16" t="s">
        <v>17</v>
      </c>
      <c r="O467" s="16" t="s">
        <v>6921</v>
      </c>
      <c r="P467" s="16" t="s">
        <v>17</v>
      </c>
      <c r="Q467" s="16" t="s">
        <v>6922</v>
      </c>
      <c r="R467" s="16" t="s">
        <v>6923</v>
      </c>
      <c r="S467" s="16" t="s">
        <v>17</v>
      </c>
      <c r="T467" s="16" t="s">
        <v>7358</v>
      </c>
      <c r="U467" s="16" t="s">
        <v>17</v>
      </c>
      <c r="V467" s="16" t="s">
        <v>7359</v>
      </c>
      <c r="W467" s="16" t="s">
        <v>17</v>
      </c>
      <c r="X467" s="16" t="s">
        <v>7357</v>
      </c>
      <c r="Y467" s="16" t="s">
        <v>17</v>
      </c>
      <c r="Z467" s="16" t="s">
        <v>6926</v>
      </c>
    </row>
    <row r="468" spans="1:26" x14ac:dyDescent="0.3">
      <c r="A468" s="16">
        <v>467</v>
      </c>
      <c r="B468" s="16" t="s">
        <v>7357</v>
      </c>
      <c r="C468" s="17">
        <v>9781265054632</v>
      </c>
      <c r="D468" s="17">
        <v>9781265054632</v>
      </c>
      <c r="E468" s="16" t="s">
        <v>8403</v>
      </c>
      <c r="F468" s="16" t="s">
        <v>17</v>
      </c>
      <c r="G468" s="16" t="s">
        <v>17</v>
      </c>
      <c r="H468" s="16" t="s">
        <v>17</v>
      </c>
      <c r="I468" s="16" t="s">
        <v>17</v>
      </c>
      <c r="J468" s="16" t="s">
        <v>17</v>
      </c>
      <c r="K468" s="16" t="s">
        <v>1600</v>
      </c>
      <c r="L468" s="16" t="s">
        <v>1599</v>
      </c>
      <c r="M468" s="16" t="s">
        <v>7357</v>
      </c>
      <c r="N468" s="16" t="s">
        <v>17</v>
      </c>
      <c r="O468" s="16" t="s">
        <v>6921</v>
      </c>
      <c r="P468" s="16" t="s">
        <v>17</v>
      </c>
      <c r="Q468" s="16" t="s">
        <v>6922</v>
      </c>
      <c r="R468" s="16" t="s">
        <v>6923</v>
      </c>
      <c r="S468" s="16" t="s">
        <v>17</v>
      </c>
      <c r="T468" s="16" t="s">
        <v>8403</v>
      </c>
      <c r="U468" s="16" t="s">
        <v>17</v>
      </c>
      <c r="V468" s="16" t="s">
        <v>7173</v>
      </c>
      <c r="W468" s="16" t="s">
        <v>17</v>
      </c>
      <c r="X468" s="16" t="s">
        <v>7357</v>
      </c>
      <c r="Y468" s="16" t="s">
        <v>17</v>
      </c>
      <c r="Z468" s="16" t="s">
        <v>6926</v>
      </c>
    </row>
    <row r="469" spans="1:26" x14ac:dyDescent="0.3">
      <c r="A469" s="16">
        <v>468</v>
      </c>
      <c r="B469" s="16" t="s">
        <v>7598</v>
      </c>
      <c r="C469" s="17">
        <v>9781260463415</v>
      </c>
      <c r="D469" s="17">
        <v>9781260463415</v>
      </c>
      <c r="E469" s="16" t="s">
        <v>7599</v>
      </c>
      <c r="F469" s="16" t="s">
        <v>17</v>
      </c>
      <c r="G469" s="16" t="s">
        <v>17</v>
      </c>
      <c r="H469" s="16" t="s">
        <v>17</v>
      </c>
      <c r="I469" s="16" t="s">
        <v>17</v>
      </c>
      <c r="J469" s="16" t="s">
        <v>17</v>
      </c>
      <c r="K469" s="16" t="s">
        <v>593</v>
      </c>
      <c r="L469" s="16" t="s">
        <v>375</v>
      </c>
      <c r="M469" s="16" t="s">
        <v>7598</v>
      </c>
      <c r="N469" s="16" t="s">
        <v>17</v>
      </c>
      <c r="O469" s="16" t="s">
        <v>6921</v>
      </c>
      <c r="P469" s="16" t="s">
        <v>17</v>
      </c>
      <c r="Q469" s="16" t="s">
        <v>6922</v>
      </c>
      <c r="R469" s="16" t="s">
        <v>6923</v>
      </c>
      <c r="S469" s="16" t="s">
        <v>17</v>
      </c>
      <c r="T469" s="16" t="s">
        <v>7599</v>
      </c>
      <c r="U469" s="16" t="s">
        <v>17</v>
      </c>
      <c r="V469" s="16" t="s">
        <v>7600</v>
      </c>
      <c r="W469" s="16" t="s">
        <v>17</v>
      </c>
      <c r="X469" s="16" t="s">
        <v>7598</v>
      </c>
      <c r="Y469" s="16" t="s">
        <v>17</v>
      </c>
      <c r="Z469" s="16" t="s">
        <v>6926</v>
      </c>
    </row>
    <row r="470" spans="1:26" x14ac:dyDescent="0.3">
      <c r="A470" s="16">
        <v>469</v>
      </c>
      <c r="B470" s="16" t="s">
        <v>7598</v>
      </c>
      <c r="C470" s="17">
        <v>9781265058432</v>
      </c>
      <c r="D470" s="17">
        <v>9781265058432</v>
      </c>
      <c r="E470" s="16" t="s">
        <v>8401</v>
      </c>
      <c r="F470" s="16" t="s">
        <v>17</v>
      </c>
      <c r="G470" s="16" t="s">
        <v>17</v>
      </c>
      <c r="H470" s="16" t="s">
        <v>17</v>
      </c>
      <c r="I470" s="16" t="s">
        <v>17</v>
      </c>
      <c r="J470" s="16" t="s">
        <v>17</v>
      </c>
      <c r="K470" s="16" t="s">
        <v>1597</v>
      </c>
      <c r="L470" s="16" t="s">
        <v>375</v>
      </c>
      <c r="M470" s="16" t="s">
        <v>7598</v>
      </c>
      <c r="N470" s="16" t="s">
        <v>17</v>
      </c>
      <c r="O470" s="16" t="s">
        <v>6921</v>
      </c>
      <c r="P470" s="16" t="s">
        <v>17</v>
      </c>
      <c r="Q470" s="16" t="s">
        <v>6922</v>
      </c>
      <c r="R470" s="16" t="s">
        <v>6923</v>
      </c>
      <c r="S470" s="16" t="s">
        <v>17</v>
      </c>
      <c r="T470" s="16" t="s">
        <v>8401</v>
      </c>
      <c r="U470" s="16" t="s">
        <v>17</v>
      </c>
      <c r="V470" s="16" t="s">
        <v>8068</v>
      </c>
      <c r="W470" s="16" t="s">
        <v>17</v>
      </c>
      <c r="X470" s="16" t="s">
        <v>7598</v>
      </c>
      <c r="Y470" s="16" t="s">
        <v>17</v>
      </c>
      <c r="Z470" s="16" t="s">
        <v>6926</v>
      </c>
    </row>
    <row r="471" spans="1:26" x14ac:dyDescent="0.3">
      <c r="A471" s="16">
        <v>470</v>
      </c>
      <c r="B471" s="16" t="s">
        <v>8453</v>
      </c>
      <c r="C471" s="17">
        <v>9780071742412</v>
      </c>
      <c r="D471" s="17">
        <v>9780071742412</v>
      </c>
      <c r="E471" s="16" t="s">
        <v>8454</v>
      </c>
      <c r="F471" s="16" t="s">
        <v>17</v>
      </c>
      <c r="G471" s="16" t="s">
        <v>17</v>
      </c>
      <c r="H471" s="16" t="s">
        <v>17</v>
      </c>
      <c r="I471" s="16" t="s">
        <v>17</v>
      </c>
      <c r="J471" s="16" t="s">
        <v>17</v>
      </c>
      <c r="K471" s="16" t="s">
        <v>1631</v>
      </c>
      <c r="L471" s="16" t="s">
        <v>8455</v>
      </c>
      <c r="M471" s="16" t="s">
        <v>8453</v>
      </c>
      <c r="N471" s="16" t="s">
        <v>17</v>
      </c>
      <c r="O471" s="16" t="s">
        <v>6921</v>
      </c>
      <c r="P471" s="16" t="s">
        <v>17</v>
      </c>
      <c r="Q471" s="16" t="s">
        <v>6922</v>
      </c>
      <c r="R471" s="16" t="s">
        <v>6923</v>
      </c>
      <c r="S471" s="16" t="s">
        <v>17</v>
      </c>
      <c r="T471" s="16" t="s">
        <v>8454</v>
      </c>
      <c r="U471" s="16" t="s">
        <v>17</v>
      </c>
      <c r="V471" s="16" t="s">
        <v>6929</v>
      </c>
      <c r="W471" s="16" t="s">
        <v>17</v>
      </c>
      <c r="X471" s="16" t="s">
        <v>8453</v>
      </c>
      <c r="Y471" s="16" t="s">
        <v>17</v>
      </c>
      <c r="Z471" s="16" t="s">
        <v>6926</v>
      </c>
    </row>
    <row r="472" spans="1:26" x14ac:dyDescent="0.3">
      <c r="A472" s="16">
        <v>471</v>
      </c>
      <c r="B472" s="16" t="s">
        <v>1430</v>
      </c>
      <c r="C472" s="17">
        <v>9780071625098</v>
      </c>
      <c r="D472" s="17">
        <v>9780071625098</v>
      </c>
      <c r="E472" s="16" t="s">
        <v>6920</v>
      </c>
      <c r="F472" s="16" t="s">
        <v>17</v>
      </c>
      <c r="G472" s="16" t="s">
        <v>17</v>
      </c>
      <c r="H472" s="16" t="s">
        <v>17</v>
      </c>
      <c r="I472" s="16" t="s">
        <v>17</v>
      </c>
      <c r="J472" s="16" t="s">
        <v>17</v>
      </c>
      <c r="K472" s="16" t="s">
        <v>1432</v>
      </c>
      <c r="L472" s="16" t="s">
        <v>1431</v>
      </c>
      <c r="M472" s="16" t="s">
        <v>1430</v>
      </c>
      <c r="N472" s="16" t="s">
        <v>17</v>
      </c>
      <c r="O472" s="16" t="s">
        <v>6921</v>
      </c>
      <c r="P472" s="16" t="s">
        <v>17</v>
      </c>
      <c r="Q472" s="16" t="s">
        <v>6922</v>
      </c>
      <c r="R472" s="16" t="s">
        <v>6923</v>
      </c>
      <c r="S472" s="16" t="s">
        <v>17</v>
      </c>
      <c r="T472" s="16" t="s">
        <v>6920</v>
      </c>
      <c r="U472" s="16" t="s">
        <v>17</v>
      </c>
      <c r="V472" s="16" t="s">
        <v>7049</v>
      </c>
      <c r="W472" s="16" t="s">
        <v>17</v>
      </c>
      <c r="X472" s="16" t="s">
        <v>1430</v>
      </c>
      <c r="Y472" s="16" t="s">
        <v>17</v>
      </c>
      <c r="Z472" s="16" t="s">
        <v>6926</v>
      </c>
    </row>
    <row r="473" spans="1:26" x14ac:dyDescent="0.3">
      <c r="A473" s="16">
        <v>472</v>
      </c>
      <c r="B473" s="16" t="s">
        <v>6994</v>
      </c>
      <c r="C473" s="17">
        <v>9780070680739</v>
      </c>
      <c r="D473" s="17">
        <v>9780070680739</v>
      </c>
      <c r="E473" s="16" t="s">
        <v>6995</v>
      </c>
      <c r="F473" s="16" t="s">
        <v>17</v>
      </c>
      <c r="G473" s="16" t="s">
        <v>17</v>
      </c>
      <c r="H473" s="16" t="s">
        <v>17</v>
      </c>
      <c r="I473" s="16" t="s">
        <v>17</v>
      </c>
      <c r="J473" s="16" t="s">
        <v>17</v>
      </c>
      <c r="K473" s="16" t="s">
        <v>70</v>
      </c>
      <c r="L473" s="16" t="s">
        <v>6969</v>
      </c>
      <c r="M473" s="16" t="s">
        <v>6994</v>
      </c>
      <c r="N473" s="16" t="s">
        <v>17</v>
      </c>
      <c r="O473" s="16" t="s">
        <v>6921</v>
      </c>
      <c r="P473" s="16" t="s">
        <v>17</v>
      </c>
      <c r="Q473" s="16" t="s">
        <v>6922</v>
      </c>
      <c r="R473" s="16" t="s">
        <v>6923</v>
      </c>
      <c r="S473" s="16" t="s">
        <v>17</v>
      </c>
      <c r="T473" s="16" t="s">
        <v>6995</v>
      </c>
      <c r="U473" s="16" t="s">
        <v>17</v>
      </c>
      <c r="V473" s="16" t="s">
        <v>6949</v>
      </c>
      <c r="W473" s="16" t="s">
        <v>17</v>
      </c>
      <c r="X473" s="16" t="s">
        <v>6994</v>
      </c>
      <c r="Y473" s="16" t="s">
        <v>17</v>
      </c>
      <c r="Z473" s="16" t="s">
        <v>6926</v>
      </c>
    </row>
    <row r="474" spans="1:26" x14ac:dyDescent="0.3">
      <c r="A474" s="16">
        <v>473</v>
      </c>
      <c r="B474" s="16" t="s">
        <v>6938</v>
      </c>
      <c r="C474" s="17">
        <v>9780071825917</v>
      </c>
      <c r="D474" s="17">
        <v>9780071825917</v>
      </c>
      <c r="E474" s="16" t="s">
        <v>6939</v>
      </c>
      <c r="F474" s="16" t="s">
        <v>17</v>
      </c>
      <c r="G474" s="16" t="s">
        <v>17</v>
      </c>
      <c r="H474" s="16" t="s">
        <v>17</v>
      </c>
      <c r="I474" s="16" t="s">
        <v>17</v>
      </c>
      <c r="J474" s="16" t="s">
        <v>17</v>
      </c>
      <c r="K474" s="16" t="s">
        <v>30</v>
      </c>
      <c r="L474" s="16" t="s">
        <v>6940</v>
      </c>
      <c r="M474" s="16" t="s">
        <v>6938</v>
      </c>
      <c r="N474" s="16" t="s">
        <v>17</v>
      </c>
      <c r="O474" s="16" t="s">
        <v>6921</v>
      </c>
      <c r="P474" s="16" t="s">
        <v>17</v>
      </c>
      <c r="Q474" s="16" t="s">
        <v>6922</v>
      </c>
      <c r="R474" s="16" t="s">
        <v>6923</v>
      </c>
      <c r="S474" s="16" t="s">
        <v>17</v>
      </c>
      <c r="T474" s="16" t="s">
        <v>6939</v>
      </c>
      <c r="U474" s="16" t="s">
        <v>17</v>
      </c>
      <c r="V474" s="16" t="s">
        <v>6929</v>
      </c>
      <c r="W474" s="16" t="s">
        <v>17</v>
      </c>
      <c r="X474" s="16" t="s">
        <v>6938</v>
      </c>
      <c r="Y474" s="16" t="s">
        <v>17</v>
      </c>
      <c r="Z474" s="16" t="s">
        <v>6926</v>
      </c>
    </row>
    <row r="475" spans="1:26" x14ac:dyDescent="0.3">
      <c r="A475" s="16">
        <v>474</v>
      </c>
      <c r="B475" s="16" t="s">
        <v>7471</v>
      </c>
      <c r="C475" s="17">
        <v>9781259643613</v>
      </c>
      <c r="D475" s="17">
        <v>9781259643613</v>
      </c>
      <c r="E475" s="16" t="s">
        <v>7383</v>
      </c>
      <c r="F475" s="16" t="s">
        <v>17</v>
      </c>
      <c r="G475" s="16" t="s">
        <v>17</v>
      </c>
      <c r="H475" s="16" t="s">
        <v>17</v>
      </c>
      <c r="I475" s="16" t="s">
        <v>17</v>
      </c>
      <c r="J475" s="16" t="s">
        <v>17</v>
      </c>
      <c r="K475" s="16" t="s">
        <v>476</v>
      </c>
      <c r="L475" s="16" t="s">
        <v>17</v>
      </c>
      <c r="M475" s="16" t="s">
        <v>7471</v>
      </c>
      <c r="N475" s="16" t="s">
        <v>17</v>
      </c>
      <c r="O475" s="16" t="s">
        <v>6921</v>
      </c>
      <c r="P475" s="16" t="s">
        <v>17</v>
      </c>
      <c r="Q475" s="16" t="s">
        <v>6922</v>
      </c>
      <c r="R475" s="16" t="s">
        <v>6923</v>
      </c>
      <c r="S475" s="16" t="s">
        <v>17</v>
      </c>
      <c r="T475" s="16" t="s">
        <v>7383</v>
      </c>
      <c r="U475" s="16" t="s">
        <v>17</v>
      </c>
      <c r="V475" s="16" t="s">
        <v>7145</v>
      </c>
      <c r="W475" s="16" t="s">
        <v>7472</v>
      </c>
      <c r="X475" s="16" t="s">
        <v>7471</v>
      </c>
      <c r="Y475" s="16" t="s">
        <v>17</v>
      </c>
      <c r="Z475" s="16" t="s">
        <v>6926</v>
      </c>
    </row>
    <row r="476" spans="1:26" x14ac:dyDescent="0.3">
      <c r="A476" s="16">
        <v>475</v>
      </c>
      <c r="B476" s="16" t="s">
        <v>303</v>
      </c>
      <c r="C476" s="17">
        <v>9780071629737</v>
      </c>
      <c r="D476" s="17">
        <v>9780071629737</v>
      </c>
      <c r="E476" s="16" t="s">
        <v>7275</v>
      </c>
      <c r="F476" s="16" t="s">
        <v>17</v>
      </c>
      <c r="G476" s="16" t="s">
        <v>17</v>
      </c>
      <c r="H476" s="16" t="s">
        <v>17</v>
      </c>
      <c r="I476" s="16" t="s">
        <v>17</v>
      </c>
      <c r="J476" s="16" t="s">
        <v>17</v>
      </c>
      <c r="K476" s="16" t="s">
        <v>305</v>
      </c>
      <c r="L476" s="16" t="s">
        <v>304</v>
      </c>
      <c r="M476" s="16" t="s">
        <v>303</v>
      </c>
      <c r="N476" s="16" t="s">
        <v>17</v>
      </c>
      <c r="O476" s="16" t="s">
        <v>6921</v>
      </c>
      <c r="P476" s="16" t="s">
        <v>17</v>
      </c>
      <c r="Q476" s="16" t="s">
        <v>6922</v>
      </c>
      <c r="R476" s="16" t="s">
        <v>6923</v>
      </c>
      <c r="S476" s="16" t="s">
        <v>17</v>
      </c>
      <c r="T476" s="16" t="s">
        <v>7275</v>
      </c>
      <c r="U476" s="16" t="s">
        <v>17</v>
      </c>
      <c r="V476" s="16" t="s">
        <v>7276</v>
      </c>
      <c r="W476" s="16" t="s">
        <v>17</v>
      </c>
      <c r="X476" s="16" t="s">
        <v>303</v>
      </c>
      <c r="Y476" s="16" t="s">
        <v>17</v>
      </c>
      <c r="Z476" s="16" t="s">
        <v>6926</v>
      </c>
    </row>
    <row r="477" spans="1:26" x14ac:dyDescent="0.3">
      <c r="A477" s="16">
        <v>476</v>
      </c>
      <c r="B477" s="16" t="s">
        <v>8196</v>
      </c>
      <c r="C477" s="17">
        <v>9781260135268</v>
      </c>
      <c r="D477" s="17">
        <v>9781260135268</v>
      </c>
      <c r="E477" s="16" t="s">
        <v>8197</v>
      </c>
      <c r="F477" s="16" t="s">
        <v>17</v>
      </c>
      <c r="G477" s="16" t="s">
        <v>17</v>
      </c>
      <c r="H477" s="16" t="s">
        <v>17</v>
      </c>
      <c r="I477" s="16" t="s">
        <v>17</v>
      </c>
      <c r="J477" s="16" t="s">
        <v>17</v>
      </c>
      <c r="K477" s="16" t="s">
        <v>1276</v>
      </c>
      <c r="L477" s="16" t="s">
        <v>1275</v>
      </c>
      <c r="M477" s="16" t="s">
        <v>8196</v>
      </c>
      <c r="N477" s="16" t="s">
        <v>17</v>
      </c>
      <c r="O477" s="16" t="s">
        <v>6921</v>
      </c>
      <c r="P477" s="16" t="s">
        <v>17</v>
      </c>
      <c r="Q477" s="16" t="s">
        <v>6922</v>
      </c>
      <c r="R477" s="16" t="s">
        <v>6923</v>
      </c>
      <c r="S477" s="16" t="s">
        <v>17</v>
      </c>
      <c r="T477" s="16" t="s">
        <v>8197</v>
      </c>
      <c r="U477" s="16" t="s">
        <v>17</v>
      </c>
      <c r="V477" s="16" t="s">
        <v>6944</v>
      </c>
      <c r="W477" s="16" t="s">
        <v>17</v>
      </c>
      <c r="X477" s="16" t="s">
        <v>8196</v>
      </c>
      <c r="Y477" s="16" t="s">
        <v>17</v>
      </c>
      <c r="Z477" s="16" t="s">
        <v>6926</v>
      </c>
    </row>
    <row r="478" spans="1:26" x14ac:dyDescent="0.3">
      <c r="A478" s="16">
        <v>477</v>
      </c>
      <c r="B478" s="16" t="s">
        <v>7992</v>
      </c>
      <c r="C478" s="17">
        <v>9780071603218</v>
      </c>
      <c r="D478" s="17">
        <v>9780071603218</v>
      </c>
      <c r="E478" s="16" t="s">
        <v>6920</v>
      </c>
      <c r="F478" s="16" t="s">
        <v>17</v>
      </c>
      <c r="G478" s="16" t="s">
        <v>17</v>
      </c>
      <c r="H478" s="16" t="s">
        <v>17</v>
      </c>
      <c r="I478" s="16" t="s">
        <v>17</v>
      </c>
      <c r="J478" s="16" t="s">
        <v>17</v>
      </c>
      <c r="K478" s="16" t="s">
        <v>1034</v>
      </c>
      <c r="L478" s="16" t="s">
        <v>1033</v>
      </c>
      <c r="M478" s="16" t="s">
        <v>7992</v>
      </c>
      <c r="N478" s="16" t="s">
        <v>17</v>
      </c>
      <c r="O478" s="16" t="s">
        <v>6921</v>
      </c>
      <c r="P478" s="16" t="s">
        <v>17</v>
      </c>
      <c r="Q478" s="16" t="s">
        <v>6922</v>
      </c>
      <c r="R478" s="16" t="s">
        <v>6923</v>
      </c>
      <c r="S478" s="16" t="s">
        <v>17</v>
      </c>
      <c r="T478" s="16" t="s">
        <v>6920</v>
      </c>
      <c r="U478" s="16" t="s">
        <v>17</v>
      </c>
      <c r="V478" s="16" t="s">
        <v>7480</v>
      </c>
      <c r="W478" s="16" t="s">
        <v>17</v>
      </c>
      <c r="X478" s="16" t="s">
        <v>7992</v>
      </c>
      <c r="Y478" s="16" t="s">
        <v>17</v>
      </c>
      <c r="Z478" s="16" t="s">
        <v>6926</v>
      </c>
    </row>
    <row r="479" spans="1:26" x14ac:dyDescent="0.3">
      <c r="A479" s="16">
        <v>478</v>
      </c>
      <c r="B479" s="16" t="s">
        <v>8163</v>
      </c>
      <c r="C479" s="17">
        <v>9781260440751</v>
      </c>
      <c r="D479" s="17">
        <v>9781260440751</v>
      </c>
      <c r="E479" s="16" t="s">
        <v>8019</v>
      </c>
      <c r="F479" s="16" t="s">
        <v>17</v>
      </c>
      <c r="G479" s="16" t="s">
        <v>17</v>
      </c>
      <c r="H479" s="16" t="s">
        <v>17</v>
      </c>
      <c r="I479" s="16" t="s">
        <v>17</v>
      </c>
      <c r="J479" s="16" t="s">
        <v>17</v>
      </c>
      <c r="K479" s="16" t="s">
        <v>1248</v>
      </c>
      <c r="L479" s="16" t="s">
        <v>1079</v>
      </c>
      <c r="M479" s="16" t="s">
        <v>8163</v>
      </c>
      <c r="N479" s="16" t="s">
        <v>17</v>
      </c>
      <c r="O479" s="16" t="s">
        <v>6921</v>
      </c>
      <c r="P479" s="16" t="s">
        <v>17</v>
      </c>
      <c r="Q479" s="16" t="s">
        <v>6922</v>
      </c>
      <c r="R479" s="16" t="s">
        <v>6923</v>
      </c>
      <c r="S479" s="16" t="s">
        <v>17</v>
      </c>
      <c r="T479" s="16" t="s">
        <v>8019</v>
      </c>
      <c r="U479" s="16" t="s">
        <v>17</v>
      </c>
      <c r="V479" s="16" t="s">
        <v>7024</v>
      </c>
      <c r="W479" s="16" t="s">
        <v>17</v>
      </c>
      <c r="X479" s="16" t="s">
        <v>8163</v>
      </c>
      <c r="Y479" s="16" t="s">
        <v>17</v>
      </c>
      <c r="Z479" s="16" t="s">
        <v>6926</v>
      </c>
    </row>
    <row r="480" spans="1:26" x14ac:dyDescent="0.3">
      <c r="A480" s="16">
        <v>479</v>
      </c>
      <c r="B480" s="16" t="s">
        <v>7876</v>
      </c>
      <c r="C480" s="17">
        <v>9780071494373</v>
      </c>
      <c r="D480" s="17">
        <v>9780071494373</v>
      </c>
      <c r="E480" s="16" t="s">
        <v>6920</v>
      </c>
      <c r="F480" s="16" t="s">
        <v>17</v>
      </c>
      <c r="G480" s="16" t="s">
        <v>17</v>
      </c>
      <c r="H480" s="16" t="s">
        <v>17</v>
      </c>
      <c r="I480" s="16" t="s">
        <v>17</v>
      </c>
      <c r="J480" s="16" t="s">
        <v>17</v>
      </c>
      <c r="K480" s="16" t="s">
        <v>875</v>
      </c>
      <c r="L480" s="16" t="s">
        <v>874</v>
      </c>
      <c r="M480" s="16" t="s">
        <v>7876</v>
      </c>
      <c r="N480" s="16" t="s">
        <v>17</v>
      </c>
      <c r="O480" s="16" t="s">
        <v>6921</v>
      </c>
      <c r="P480" s="16" t="s">
        <v>17</v>
      </c>
      <c r="Q480" s="16" t="s">
        <v>6922</v>
      </c>
      <c r="R480" s="16" t="s">
        <v>6923</v>
      </c>
      <c r="S480" s="16" t="s">
        <v>17</v>
      </c>
      <c r="T480" s="16" t="s">
        <v>6920</v>
      </c>
      <c r="U480" s="16" t="s">
        <v>17</v>
      </c>
      <c r="V480" s="16" t="s">
        <v>7363</v>
      </c>
      <c r="W480" s="16" t="s">
        <v>17</v>
      </c>
      <c r="X480" s="16" t="s">
        <v>7876</v>
      </c>
      <c r="Y480" s="16" t="s">
        <v>17</v>
      </c>
      <c r="Z480" s="16" t="s">
        <v>6926</v>
      </c>
    </row>
    <row r="481" spans="1:26" x14ac:dyDescent="0.3">
      <c r="A481" s="16">
        <v>480</v>
      </c>
      <c r="B481" s="16" t="s">
        <v>7068</v>
      </c>
      <c r="C481" s="17">
        <v>9780070610408</v>
      </c>
      <c r="D481" s="17">
        <v>9780070610408</v>
      </c>
      <c r="E481" s="16" t="s">
        <v>6920</v>
      </c>
      <c r="F481" s="16" t="s">
        <v>17</v>
      </c>
      <c r="G481" s="16" t="s">
        <v>17</v>
      </c>
      <c r="H481" s="16" t="s">
        <v>17</v>
      </c>
      <c r="I481" s="16" t="s">
        <v>17</v>
      </c>
      <c r="J481" s="16" t="s">
        <v>17</v>
      </c>
      <c r="K481" s="16" t="s">
        <v>130</v>
      </c>
      <c r="L481" s="16" t="s">
        <v>7069</v>
      </c>
      <c r="M481" s="16" t="s">
        <v>7068</v>
      </c>
      <c r="N481" s="16" t="s">
        <v>17</v>
      </c>
      <c r="O481" s="16" t="s">
        <v>6921</v>
      </c>
      <c r="P481" s="16" t="s">
        <v>17</v>
      </c>
      <c r="Q481" s="16" t="s">
        <v>6922</v>
      </c>
      <c r="R481" s="16" t="s">
        <v>6923</v>
      </c>
      <c r="S481" s="16" t="s">
        <v>17</v>
      </c>
      <c r="T481" s="16" t="s">
        <v>6920</v>
      </c>
      <c r="U481" s="16" t="s">
        <v>17</v>
      </c>
      <c r="V481" s="16" t="s">
        <v>6929</v>
      </c>
      <c r="W481" s="16" t="s">
        <v>17</v>
      </c>
      <c r="X481" s="16" t="s">
        <v>7068</v>
      </c>
      <c r="Y481" s="16" t="s">
        <v>17</v>
      </c>
      <c r="Z481" s="16" t="s">
        <v>6926</v>
      </c>
    </row>
    <row r="482" spans="1:26" x14ac:dyDescent="0.3">
      <c r="A482" s="16">
        <v>481</v>
      </c>
      <c r="B482" s="16" t="s">
        <v>8095</v>
      </c>
      <c r="C482" s="17">
        <v>9781259586095</v>
      </c>
      <c r="D482" s="17">
        <v>9781259586095</v>
      </c>
      <c r="E482" s="16" t="s">
        <v>8096</v>
      </c>
      <c r="F482" s="16" t="s">
        <v>17</v>
      </c>
      <c r="G482" s="16" t="s">
        <v>17</v>
      </c>
      <c r="H482" s="16" t="s">
        <v>17</v>
      </c>
      <c r="I482" s="16" t="s">
        <v>17</v>
      </c>
      <c r="J482" s="16" t="s">
        <v>17</v>
      </c>
      <c r="K482" s="16" t="s">
        <v>1183</v>
      </c>
      <c r="L482" s="16" t="s">
        <v>17</v>
      </c>
      <c r="M482" s="16" t="s">
        <v>8095</v>
      </c>
      <c r="N482" s="16" t="s">
        <v>17</v>
      </c>
      <c r="O482" s="16" t="s">
        <v>6921</v>
      </c>
      <c r="P482" s="16" t="s">
        <v>17</v>
      </c>
      <c r="Q482" s="16" t="s">
        <v>6922</v>
      </c>
      <c r="R482" s="16" t="s">
        <v>6923</v>
      </c>
      <c r="S482" s="16" t="s">
        <v>17</v>
      </c>
      <c r="T482" s="16" t="s">
        <v>8096</v>
      </c>
      <c r="U482" s="16" t="s">
        <v>17</v>
      </c>
      <c r="V482" s="16" t="s">
        <v>7948</v>
      </c>
      <c r="W482" s="16" t="s">
        <v>8083</v>
      </c>
      <c r="X482" s="16" t="s">
        <v>8095</v>
      </c>
      <c r="Y482" s="16" t="s">
        <v>17</v>
      </c>
      <c r="Z482" s="16" t="s">
        <v>6926</v>
      </c>
    </row>
    <row r="483" spans="1:26" x14ac:dyDescent="0.3">
      <c r="A483" s="16">
        <v>482</v>
      </c>
      <c r="B483" s="16" t="s">
        <v>951</v>
      </c>
      <c r="C483" s="17">
        <v>9780071432207</v>
      </c>
      <c r="D483" s="17">
        <v>9780071432207</v>
      </c>
      <c r="E483" s="16" t="s">
        <v>7860</v>
      </c>
      <c r="F483" s="16" t="s">
        <v>17</v>
      </c>
      <c r="G483" s="16" t="s">
        <v>17</v>
      </c>
      <c r="H483" s="16" t="s">
        <v>17</v>
      </c>
      <c r="I483" s="16" t="s">
        <v>17</v>
      </c>
      <c r="J483" s="16" t="s">
        <v>17</v>
      </c>
      <c r="K483" s="16" t="s">
        <v>953</v>
      </c>
      <c r="L483" s="16" t="s">
        <v>952</v>
      </c>
      <c r="M483" s="16" t="s">
        <v>951</v>
      </c>
      <c r="N483" s="16" t="s">
        <v>17</v>
      </c>
      <c r="O483" s="16" t="s">
        <v>6921</v>
      </c>
      <c r="P483" s="16" t="s">
        <v>17</v>
      </c>
      <c r="Q483" s="16" t="s">
        <v>6922</v>
      </c>
      <c r="R483" s="16" t="s">
        <v>6923</v>
      </c>
      <c r="S483" s="16" t="s">
        <v>17</v>
      </c>
      <c r="T483" s="16" t="s">
        <v>7860</v>
      </c>
      <c r="U483" s="16" t="s">
        <v>17</v>
      </c>
      <c r="V483" s="16" t="s">
        <v>7872</v>
      </c>
      <c r="W483" s="16" t="s">
        <v>17</v>
      </c>
      <c r="X483" s="16" t="s">
        <v>951</v>
      </c>
      <c r="Y483" s="16" t="s">
        <v>17</v>
      </c>
      <c r="Z483" s="16" t="s">
        <v>6926</v>
      </c>
    </row>
    <row r="484" spans="1:26" x14ac:dyDescent="0.3">
      <c r="A484" s="16">
        <v>483</v>
      </c>
      <c r="B484" s="16" t="s">
        <v>7458</v>
      </c>
      <c r="C484" s="17">
        <v>9780071763271</v>
      </c>
      <c r="D484" s="17">
        <v>9780071763271</v>
      </c>
      <c r="E484" s="16" t="s">
        <v>7459</v>
      </c>
      <c r="F484" s="16" t="s">
        <v>17</v>
      </c>
      <c r="G484" s="16" t="s">
        <v>17</v>
      </c>
      <c r="H484" s="16" t="s">
        <v>17</v>
      </c>
      <c r="I484" s="16" t="s">
        <v>17</v>
      </c>
      <c r="J484" s="16" t="s">
        <v>17</v>
      </c>
      <c r="K484" s="16" t="s">
        <v>466</v>
      </c>
      <c r="L484" s="16" t="s">
        <v>22</v>
      </c>
      <c r="M484" s="16" t="s">
        <v>7458</v>
      </c>
      <c r="N484" s="16" t="s">
        <v>17</v>
      </c>
      <c r="O484" s="16" t="s">
        <v>6921</v>
      </c>
      <c r="P484" s="16" t="s">
        <v>17</v>
      </c>
      <c r="Q484" s="16" t="s">
        <v>6922</v>
      </c>
      <c r="R484" s="16" t="s">
        <v>6923</v>
      </c>
      <c r="S484" s="16" t="s">
        <v>17</v>
      </c>
      <c r="T484" s="16" t="s">
        <v>7459</v>
      </c>
      <c r="U484" s="16" t="s">
        <v>17</v>
      </c>
      <c r="V484" s="16" t="s">
        <v>6929</v>
      </c>
      <c r="W484" s="16" t="s">
        <v>17</v>
      </c>
      <c r="X484" s="16" t="s">
        <v>7458</v>
      </c>
      <c r="Y484" s="16" t="s">
        <v>17</v>
      </c>
      <c r="Z484" s="16" t="s">
        <v>6926</v>
      </c>
    </row>
    <row r="485" spans="1:26" x14ac:dyDescent="0.3">
      <c r="A485" s="16">
        <v>484</v>
      </c>
      <c r="B485" s="16" t="s">
        <v>7479</v>
      </c>
      <c r="C485" s="17">
        <v>9780071359672</v>
      </c>
      <c r="D485" s="17">
        <v>9780071359672</v>
      </c>
      <c r="E485" s="16" t="s">
        <v>6985</v>
      </c>
      <c r="F485" s="16" t="s">
        <v>17</v>
      </c>
      <c r="G485" s="16" t="s">
        <v>17</v>
      </c>
      <c r="H485" s="16" t="s">
        <v>17</v>
      </c>
      <c r="I485" s="16" t="s">
        <v>17</v>
      </c>
      <c r="J485" s="16" t="s">
        <v>17</v>
      </c>
      <c r="K485" s="16" t="s">
        <v>491</v>
      </c>
      <c r="L485" s="16" t="s">
        <v>490</v>
      </c>
      <c r="M485" s="16" t="s">
        <v>7479</v>
      </c>
      <c r="N485" s="16" t="s">
        <v>17</v>
      </c>
      <c r="O485" s="16" t="s">
        <v>6921</v>
      </c>
      <c r="P485" s="16" t="s">
        <v>17</v>
      </c>
      <c r="Q485" s="16" t="s">
        <v>6922</v>
      </c>
      <c r="R485" s="16" t="s">
        <v>6923</v>
      </c>
      <c r="S485" s="16" t="s">
        <v>17</v>
      </c>
      <c r="T485" s="16" t="s">
        <v>6985</v>
      </c>
      <c r="U485" s="16" t="s">
        <v>17</v>
      </c>
      <c r="V485" s="16" t="s">
        <v>7480</v>
      </c>
      <c r="W485" s="16" t="s">
        <v>17</v>
      </c>
      <c r="X485" s="16" t="s">
        <v>7479</v>
      </c>
      <c r="Y485" s="16" t="s">
        <v>17</v>
      </c>
      <c r="Z485" s="16" t="s">
        <v>6926</v>
      </c>
    </row>
    <row r="486" spans="1:26" x14ac:dyDescent="0.3">
      <c r="A486" s="16">
        <v>485</v>
      </c>
      <c r="B486" s="16" t="s">
        <v>8254</v>
      </c>
      <c r="C486" s="17">
        <v>9781260135909</v>
      </c>
      <c r="D486" s="17">
        <v>9781260135909</v>
      </c>
      <c r="E486" s="16" t="s">
        <v>8255</v>
      </c>
      <c r="F486" s="16" t="s">
        <v>17</v>
      </c>
      <c r="G486" s="16" t="s">
        <v>17</v>
      </c>
      <c r="H486" s="16" t="s">
        <v>17</v>
      </c>
      <c r="I486" s="16" t="s">
        <v>17</v>
      </c>
      <c r="J486" s="16" t="s">
        <v>17</v>
      </c>
      <c r="K486" s="16" t="s">
        <v>1325</v>
      </c>
      <c r="L486" s="16" t="s">
        <v>8256</v>
      </c>
      <c r="M486" s="16" t="s">
        <v>8254</v>
      </c>
      <c r="N486" s="16" t="s">
        <v>17</v>
      </c>
      <c r="O486" s="16" t="s">
        <v>6921</v>
      </c>
      <c r="P486" s="16" t="s">
        <v>17</v>
      </c>
      <c r="Q486" s="16" t="s">
        <v>6922</v>
      </c>
      <c r="R486" s="16" t="s">
        <v>6923</v>
      </c>
      <c r="S486" s="16" t="s">
        <v>17</v>
      </c>
      <c r="T486" s="16" t="s">
        <v>8255</v>
      </c>
      <c r="U486" s="16" t="s">
        <v>17</v>
      </c>
      <c r="V486" s="16" t="s">
        <v>6944</v>
      </c>
      <c r="W486" s="16" t="s">
        <v>17</v>
      </c>
      <c r="X486" s="16" t="s">
        <v>8254</v>
      </c>
      <c r="Y486" s="16" t="s">
        <v>17</v>
      </c>
      <c r="Z486" s="16" t="s">
        <v>6926</v>
      </c>
    </row>
    <row r="487" spans="1:26" x14ac:dyDescent="0.3">
      <c r="A487" s="16">
        <v>486</v>
      </c>
      <c r="B487" s="16" t="s">
        <v>7376</v>
      </c>
      <c r="C487" s="17">
        <v>9781259588662</v>
      </c>
      <c r="D487" s="17">
        <v>9781259588662</v>
      </c>
      <c r="E487" s="16" t="s">
        <v>7165</v>
      </c>
      <c r="F487" s="16" t="s">
        <v>17</v>
      </c>
      <c r="G487" s="16" t="s">
        <v>17</v>
      </c>
      <c r="H487" s="16" t="s">
        <v>17</v>
      </c>
      <c r="I487" s="16" t="s">
        <v>17</v>
      </c>
      <c r="J487" s="16" t="s">
        <v>17</v>
      </c>
      <c r="K487" s="16" t="s">
        <v>395</v>
      </c>
      <c r="L487" s="16" t="s">
        <v>394</v>
      </c>
      <c r="M487" s="16" t="s">
        <v>7376</v>
      </c>
      <c r="N487" s="16" t="s">
        <v>17</v>
      </c>
      <c r="O487" s="16" t="s">
        <v>6921</v>
      </c>
      <c r="P487" s="16" t="s">
        <v>17</v>
      </c>
      <c r="Q487" s="16" t="s">
        <v>6922</v>
      </c>
      <c r="R487" s="16" t="s">
        <v>6923</v>
      </c>
      <c r="S487" s="16" t="s">
        <v>17</v>
      </c>
      <c r="T487" s="16" t="s">
        <v>7165</v>
      </c>
      <c r="U487" s="16" t="s">
        <v>17</v>
      </c>
      <c r="V487" s="16" t="s">
        <v>6929</v>
      </c>
      <c r="W487" s="16" t="s">
        <v>17</v>
      </c>
      <c r="X487" s="16" t="s">
        <v>7376</v>
      </c>
      <c r="Y487" s="16" t="s">
        <v>17</v>
      </c>
      <c r="Z487" s="16" t="s">
        <v>6926</v>
      </c>
    </row>
    <row r="488" spans="1:26" x14ac:dyDescent="0.3">
      <c r="A488" s="16">
        <v>487</v>
      </c>
      <c r="B488" s="16" t="s">
        <v>7446</v>
      </c>
      <c r="C488" s="17">
        <v>9780071789943</v>
      </c>
      <c r="D488" s="17">
        <v>9780071789943</v>
      </c>
      <c r="E488" s="16" t="s">
        <v>6968</v>
      </c>
      <c r="F488" s="16" t="s">
        <v>17</v>
      </c>
      <c r="G488" s="16" t="s">
        <v>17</v>
      </c>
      <c r="H488" s="16" t="s">
        <v>17</v>
      </c>
      <c r="I488" s="16" t="s">
        <v>17</v>
      </c>
      <c r="J488" s="16" t="s">
        <v>17</v>
      </c>
      <c r="K488" s="16" t="s">
        <v>456</v>
      </c>
      <c r="L488" s="16" t="s">
        <v>7447</v>
      </c>
      <c r="M488" s="16" t="s">
        <v>7446</v>
      </c>
      <c r="N488" s="16" t="s">
        <v>17</v>
      </c>
      <c r="O488" s="16" t="s">
        <v>6921</v>
      </c>
      <c r="P488" s="16" t="s">
        <v>17</v>
      </c>
      <c r="Q488" s="16" t="s">
        <v>6922</v>
      </c>
      <c r="R488" s="16" t="s">
        <v>6923</v>
      </c>
      <c r="S488" s="16" t="s">
        <v>17</v>
      </c>
      <c r="T488" s="16" t="s">
        <v>6968</v>
      </c>
      <c r="U488" s="16" t="s">
        <v>17</v>
      </c>
      <c r="V488" s="16" t="s">
        <v>6929</v>
      </c>
      <c r="W488" s="16" t="s">
        <v>17</v>
      </c>
      <c r="X488" s="16" t="s">
        <v>7446</v>
      </c>
      <c r="Y488" s="16" t="s">
        <v>17</v>
      </c>
      <c r="Z488" s="16" t="s">
        <v>6926</v>
      </c>
    </row>
    <row r="489" spans="1:26" x14ac:dyDescent="0.3">
      <c r="A489" s="16">
        <v>488</v>
      </c>
      <c r="B489" s="16" t="s">
        <v>7773</v>
      </c>
      <c r="C489" s="17">
        <v>9780071749091</v>
      </c>
      <c r="D489" s="17">
        <v>9780071749091</v>
      </c>
      <c r="E489" s="16" t="s">
        <v>7275</v>
      </c>
      <c r="F489" s="16" t="s">
        <v>17</v>
      </c>
      <c r="G489" s="16" t="s">
        <v>17</v>
      </c>
      <c r="H489" s="16" t="s">
        <v>17</v>
      </c>
      <c r="I489" s="16" t="s">
        <v>17</v>
      </c>
      <c r="J489" s="16" t="s">
        <v>17</v>
      </c>
      <c r="K489" s="16" t="s">
        <v>751</v>
      </c>
      <c r="L489" s="16" t="s">
        <v>568</v>
      </c>
      <c r="M489" s="16" t="s">
        <v>7773</v>
      </c>
      <c r="N489" s="16" t="s">
        <v>17</v>
      </c>
      <c r="O489" s="16" t="s">
        <v>6921</v>
      </c>
      <c r="P489" s="16" t="s">
        <v>17</v>
      </c>
      <c r="Q489" s="16" t="s">
        <v>6922</v>
      </c>
      <c r="R489" s="16" t="s">
        <v>6923</v>
      </c>
      <c r="S489" s="16" t="s">
        <v>17</v>
      </c>
      <c r="T489" s="16" t="s">
        <v>7275</v>
      </c>
      <c r="U489" s="16" t="s">
        <v>17</v>
      </c>
      <c r="V489" s="16" t="s">
        <v>6924</v>
      </c>
      <c r="W489" s="16" t="s">
        <v>17</v>
      </c>
      <c r="X489" s="16" t="s">
        <v>7773</v>
      </c>
      <c r="Y489" s="16" t="s">
        <v>17</v>
      </c>
      <c r="Z489" s="16" t="s">
        <v>6926</v>
      </c>
    </row>
    <row r="490" spans="1:26" x14ac:dyDescent="0.3">
      <c r="A490" s="16">
        <v>489</v>
      </c>
      <c r="B490" s="16" t="s">
        <v>8314</v>
      </c>
      <c r="C490" s="17">
        <v>9781259641084</v>
      </c>
      <c r="D490" s="17">
        <v>9781259641084</v>
      </c>
      <c r="E490" s="16" t="s">
        <v>8315</v>
      </c>
      <c r="F490" s="16" t="s">
        <v>17</v>
      </c>
      <c r="G490" s="16" t="s">
        <v>17</v>
      </c>
      <c r="H490" s="16" t="s">
        <v>17</v>
      </c>
      <c r="I490" s="16" t="s">
        <v>17</v>
      </c>
      <c r="J490" s="16" t="s">
        <v>17</v>
      </c>
      <c r="K490" s="16" t="s">
        <v>1367</v>
      </c>
      <c r="L490" s="16" t="s">
        <v>568</v>
      </c>
      <c r="M490" s="16" t="s">
        <v>8314</v>
      </c>
      <c r="N490" s="16" t="s">
        <v>17</v>
      </c>
      <c r="O490" s="16" t="s">
        <v>6921</v>
      </c>
      <c r="P490" s="16" t="s">
        <v>17</v>
      </c>
      <c r="Q490" s="16" t="s">
        <v>6922</v>
      </c>
      <c r="R490" s="16" t="s">
        <v>6923</v>
      </c>
      <c r="S490" s="16" t="s">
        <v>17</v>
      </c>
      <c r="T490" s="16" t="s">
        <v>8315</v>
      </c>
      <c r="U490" s="16" t="s">
        <v>17</v>
      </c>
      <c r="V490" s="16" t="s">
        <v>6924</v>
      </c>
      <c r="W490" s="16" t="s">
        <v>17</v>
      </c>
      <c r="X490" s="16" t="s">
        <v>8314</v>
      </c>
      <c r="Y490" s="16" t="s">
        <v>17</v>
      </c>
      <c r="Z490" s="16" t="s">
        <v>6926</v>
      </c>
    </row>
    <row r="491" spans="1:26" x14ac:dyDescent="0.3">
      <c r="A491" s="16">
        <v>490</v>
      </c>
      <c r="B491" s="16" t="s">
        <v>8377</v>
      </c>
      <c r="C491" s="17">
        <v>9780071793056</v>
      </c>
      <c r="D491" s="17">
        <v>9780071793056</v>
      </c>
      <c r="E491" s="16" t="s">
        <v>6939</v>
      </c>
      <c r="F491" s="16" t="s">
        <v>17</v>
      </c>
      <c r="G491" s="16" t="s">
        <v>17</v>
      </c>
      <c r="H491" s="16" t="s">
        <v>17</v>
      </c>
      <c r="I491" s="16" t="s">
        <v>17</v>
      </c>
      <c r="J491" s="16" t="s">
        <v>17</v>
      </c>
      <c r="K491" s="16" t="s">
        <v>1535</v>
      </c>
      <c r="L491" s="16" t="s">
        <v>8378</v>
      </c>
      <c r="M491" s="16" t="s">
        <v>8377</v>
      </c>
      <c r="N491" s="16" t="s">
        <v>17</v>
      </c>
      <c r="O491" s="16" t="s">
        <v>6921</v>
      </c>
      <c r="P491" s="16" t="s">
        <v>17</v>
      </c>
      <c r="Q491" s="16" t="s">
        <v>6922</v>
      </c>
      <c r="R491" s="16" t="s">
        <v>6923</v>
      </c>
      <c r="S491" s="16" t="s">
        <v>17</v>
      </c>
      <c r="T491" s="16" t="s">
        <v>6939</v>
      </c>
      <c r="U491" s="16" t="s">
        <v>17</v>
      </c>
      <c r="V491" s="16" t="s">
        <v>6924</v>
      </c>
      <c r="W491" s="16" t="s">
        <v>17</v>
      </c>
      <c r="X491" s="16" t="s">
        <v>8377</v>
      </c>
      <c r="Y491" s="16" t="s">
        <v>17</v>
      </c>
      <c r="Z491" s="16" t="s">
        <v>6926</v>
      </c>
    </row>
    <row r="492" spans="1:26" x14ac:dyDescent="0.3">
      <c r="A492" s="16">
        <v>491</v>
      </c>
      <c r="B492" s="16" t="s">
        <v>8265</v>
      </c>
      <c r="C492" s="17">
        <v>9781260135039</v>
      </c>
      <c r="D492" s="17">
        <v>9781260135039</v>
      </c>
      <c r="E492" s="16" t="s">
        <v>7726</v>
      </c>
      <c r="F492" s="16" t="s">
        <v>17</v>
      </c>
      <c r="G492" s="16" t="s">
        <v>17</v>
      </c>
      <c r="H492" s="16" t="s">
        <v>17</v>
      </c>
      <c r="I492" s="16" t="s">
        <v>17</v>
      </c>
      <c r="J492" s="16" t="s">
        <v>17</v>
      </c>
      <c r="K492" s="16" t="s">
        <v>1336</v>
      </c>
      <c r="L492" s="16" t="s">
        <v>8266</v>
      </c>
      <c r="M492" s="16" t="s">
        <v>8265</v>
      </c>
      <c r="N492" s="16" t="s">
        <v>17</v>
      </c>
      <c r="O492" s="16" t="s">
        <v>6921</v>
      </c>
      <c r="P492" s="16" t="s">
        <v>17</v>
      </c>
      <c r="Q492" s="16" t="s">
        <v>6922</v>
      </c>
      <c r="R492" s="16" t="s">
        <v>6923</v>
      </c>
      <c r="S492" s="16" t="s">
        <v>17</v>
      </c>
      <c r="T492" s="16" t="s">
        <v>7726</v>
      </c>
      <c r="U492" s="16" t="s">
        <v>17</v>
      </c>
      <c r="V492" s="16" t="s">
        <v>6929</v>
      </c>
      <c r="W492" s="16" t="s">
        <v>17</v>
      </c>
      <c r="X492" s="16" t="s">
        <v>8265</v>
      </c>
      <c r="Y492" s="16" t="s">
        <v>17</v>
      </c>
      <c r="Z492" s="16" t="s">
        <v>6926</v>
      </c>
    </row>
    <row r="493" spans="1:26" x14ac:dyDescent="0.3">
      <c r="A493" s="16">
        <v>492</v>
      </c>
      <c r="B493" s="16" t="s">
        <v>8194</v>
      </c>
      <c r="C493" s="17">
        <v>9781259860423</v>
      </c>
      <c r="D493" s="17">
        <v>9781259860423</v>
      </c>
      <c r="E493" s="16" t="s">
        <v>8116</v>
      </c>
      <c r="F493" s="16" t="s">
        <v>17</v>
      </c>
      <c r="G493" s="16" t="s">
        <v>17</v>
      </c>
      <c r="H493" s="16" t="s">
        <v>17</v>
      </c>
      <c r="I493" s="16" t="s">
        <v>17</v>
      </c>
      <c r="J493" s="16" t="s">
        <v>17</v>
      </c>
      <c r="K493" s="16" t="s">
        <v>1274</v>
      </c>
      <c r="L493" s="16" t="s">
        <v>8195</v>
      </c>
      <c r="M493" s="16" t="s">
        <v>8194</v>
      </c>
      <c r="N493" s="16" t="s">
        <v>17</v>
      </c>
      <c r="O493" s="16" t="s">
        <v>6921</v>
      </c>
      <c r="P493" s="16" t="s">
        <v>17</v>
      </c>
      <c r="Q493" s="16" t="s">
        <v>6922</v>
      </c>
      <c r="R493" s="16" t="s">
        <v>6923</v>
      </c>
      <c r="S493" s="16" t="s">
        <v>17</v>
      </c>
      <c r="T493" s="16" t="s">
        <v>8116</v>
      </c>
      <c r="U493" s="16" t="s">
        <v>17</v>
      </c>
      <c r="V493" s="16" t="s">
        <v>6929</v>
      </c>
      <c r="W493" s="16" t="s">
        <v>17</v>
      </c>
      <c r="X493" s="16" t="s">
        <v>8194</v>
      </c>
      <c r="Y493" s="16" t="s">
        <v>17</v>
      </c>
      <c r="Z493" s="16" t="s">
        <v>6926</v>
      </c>
    </row>
    <row r="494" spans="1:26" x14ac:dyDescent="0.3">
      <c r="A494" s="16">
        <v>493</v>
      </c>
      <c r="B494" s="16" t="s">
        <v>7991</v>
      </c>
      <c r="C494" s="17">
        <v>9780071766265</v>
      </c>
      <c r="D494" s="17">
        <v>9780071766265</v>
      </c>
      <c r="E494" s="16" t="s">
        <v>7283</v>
      </c>
      <c r="F494" s="16" t="s">
        <v>17</v>
      </c>
      <c r="G494" s="16" t="s">
        <v>17</v>
      </c>
      <c r="H494" s="16" t="s">
        <v>17</v>
      </c>
      <c r="I494" s="16" t="s">
        <v>17</v>
      </c>
      <c r="J494" s="16" t="s">
        <v>17</v>
      </c>
      <c r="K494" s="16" t="s">
        <v>1032</v>
      </c>
      <c r="L494" s="16" t="s">
        <v>1031</v>
      </c>
      <c r="M494" s="16" t="s">
        <v>7991</v>
      </c>
      <c r="N494" s="16" t="s">
        <v>17</v>
      </c>
      <c r="O494" s="16" t="s">
        <v>6921</v>
      </c>
      <c r="P494" s="16" t="s">
        <v>17</v>
      </c>
      <c r="Q494" s="16" t="s">
        <v>6922</v>
      </c>
      <c r="R494" s="16" t="s">
        <v>6923</v>
      </c>
      <c r="S494" s="16" t="s">
        <v>17</v>
      </c>
      <c r="T494" s="16" t="s">
        <v>7283</v>
      </c>
      <c r="U494" s="16" t="s">
        <v>17</v>
      </c>
      <c r="V494" s="16" t="s">
        <v>6929</v>
      </c>
      <c r="W494" s="16" t="s">
        <v>17</v>
      </c>
      <c r="X494" s="16" t="s">
        <v>7991</v>
      </c>
      <c r="Y494" s="16" t="s">
        <v>17</v>
      </c>
      <c r="Z494" s="16" t="s">
        <v>6926</v>
      </c>
    </row>
    <row r="495" spans="1:26" x14ac:dyDescent="0.3">
      <c r="A495" s="16">
        <v>494</v>
      </c>
      <c r="B495" s="16" t="s">
        <v>7757</v>
      </c>
      <c r="C495" s="17">
        <v>9781264266654</v>
      </c>
      <c r="D495" s="17">
        <v>9781264266654</v>
      </c>
      <c r="E495" s="16" t="s">
        <v>7758</v>
      </c>
      <c r="F495" s="16" t="s">
        <v>17</v>
      </c>
      <c r="G495" s="16" t="s">
        <v>17</v>
      </c>
      <c r="H495" s="16" t="s">
        <v>17</v>
      </c>
      <c r="I495" s="16" t="s">
        <v>17</v>
      </c>
      <c r="J495" s="16" t="s">
        <v>17</v>
      </c>
      <c r="K495" s="16" t="s">
        <v>738</v>
      </c>
      <c r="L495" s="16" t="s">
        <v>7759</v>
      </c>
      <c r="M495" s="16" t="s">
        <v>7757</v>
      </c>
      <c r="N495" s="16" t="s">
        <v>17</v>
      </c>
      <c r="O495" s="16" t="s">
        <v>6921</v>
      </c>
      <c r="P495" s="16" t="s">
        <v>17</v>
      </c>
      <c r="Q495" s="16" t="s">
        <v>6922</v>
      </c>
      <c r="R495" s="16" t="s">
        <v>6923</v>
      </c>
      <c r="S495" s="16" t="s">
        <v>17</v>
      </c>
      <c r="T495" s="16" t="s">
        <v>7758</v>
      </c>
      <c r="U495" s="16" t="s">
        <v>17</v>
      </c>
      <c r="V495" s="16" t="s">
        <v>6924</v>
      </c>
      <c r="W495" s="16" t="s">
        <v>17</v>
      </c>
      <c r="X495" s="16" t="s">
        <v>7757</v>
      </c>
      <c r="Y495" s="16" t="s">
        <v>17</v>
      </c>
      <c r="Z495" s="16" t="s">
        <v>6926</v>
      </c>
    </row>
    <row r="496" spans="1:26" x14ac:dyDescent="0.3">
      <c r="A496" s="16">
        <v>495</v>
      </c>
      <c r="B496" s="16" t="s">
        <v>7757</v>
      </c>
      <c r="C496" s="17">
        <v>9781260116458</v>
      </c>
      <c r="D496" s="17">
        <v>9781260116458</v>
      </c>
      <c r="E496" s="16" t="s">
        <v>7988</v>
      </c>
      <c r="F496" s="16" t="s">
        <v>17</v>
      </c>
      <c r="G496" s="16" t="s">
        <v>17</v>
      </c>
      <c r="H496" s="16" t="s">
        <v>17</v>
      </c>
      <c r="I496" s="16" t="s">
        <v>17</v>
      </c>
      <c r="J496" s="16" t="s">
        <v>17</v>
      </c>
      <c r="K496" s="16" t="s">
        <v>1026</v>
      </c>
      <c r="L496" s="16" t="s">
        <v>17</v>
      </c>
      <c r="M496" s="16" t="s">
        <v>7757</v>
      </c>
      <c r="N496" s="16" t="s">
        <v>17</v>
      </c>
      <c r="O496" s="16" t="s">
        <v>6921</v>
      </c>
      <c r="P496" s="16" t="s">
        <v>17</v>
      </c>
      <c r="Q496" s="16" t="s">
        <v>6922</v>
      </c>
      <c r="R496" s="16" t="s">
        <v>6923</v>
      </c>
      <c r="S496" s="16" t="s">
        <v>17</v>
      </c>
      <c r="T496" s="16" t="s">
        <v>7988</v>
      </c>
      <c r="U496" s="16" t="s">
        <v>17</v>
      </c>
      <c r="V496" s="16" t="s">
        <v>6929</v>
      </c>
      <c r="W496" s="16" t="s">
        <v>7759</v>
      </c>
      <c r="X496" s="16" t="s">
        <v>7757</v>
      </c>
      <c r="Y496" s="16" t="s">
        <v>17</v>
      </c>
      <c r="Z496" s="16" t="s">
        <v>6926</v>
      </c>
    </row>
    <row r="497" spans="1:26" x14ac:dyDescent="0.3">
      <c r="A497" s="16">
        <v>496</v>
      </c>
      <c r="B497" s="16" t="s">
        <v>7430</v>
      </c>
      <c r="C497" s="17">
        <v>9780071624213</v>
      </c>
      <c r="D497" s="17">
        <v>9780071624213</v>
      </c>
      <c r="E497" s="16" t="s">
        <v>6920</v>
      </c>
      <c r="F497" s="16" t="s">
        <v>17</v>
      </c>
      <c r="G497" s="16" t="s">
        <v>17</v>
      </c>
      <c r="H497" s="16" t="s">
        <v>17</v>
      </c>
      <c r="I497" s="16" t="s">
        <v>17</v>
      </c>
      <c r="J497" s="16" t="s">
        <v>17</v>
      </c>
      <c r="K497" s="16" t="s">
        <v>437</v>
      </c>
      <c r="L497" s="16" t="s">
        <v>436</v>
      </c>
      <c r="M497" s="16" t="s">
        <v>7430</v>
      </c>
      <c r="N497" s="16" t="s">
        <v>17</v>
      </c>
      <c r="O497" s="16" t="s">
        <v>6921</v>
      </c>
      <c r="P497" s="16" t="s">
        <v>17</v>
      </c>
      <c r="Q497" s="16" t="s">
        <v>6922</v>
      </c>
      <c r="R497" s="16" t="s">
        <v>6923</v>
      </c>
      <c r="S497" s="16" t="s">
        <v>17</v>
      </c>
      <c r="T497" s="16" t="s">
        <v>6920</v>
      </c>
      <c r="U497" s="16" t="s">
        <v>17</v>
      </c>
      <c r="V497" s="16" t="s">
        <v>7431</v>
      </c>
      <c r="W497" s="16" t="s">
        <v>17</v>
      </c>
      <c r="X497" s="16" t="s">
        <v>7430</v>
      </c>
      <c r="Y497" s="16" t="s">
        <v>17</v>
      </c>
      <c r="Z497" s="16" t="s">
        <v>6926</v>
      </c>
    </row>
    <row r="498" spans="1:26" x14ac:dyDescent="0.3">
      <c r="A498" s="16">
        <v>497</v>
      </c>
      <c r="B498" s="16" t="s">
        <v>7934</v>
      </c>
      <c r="C498" s="17">
        <v>9781260115925</v>
      </c>
      <c r="D498" s="17">
        <v>9781260115925</v>
      </c>
      <c r="E498" s="16" t="s">
        <v>7935</v>
      </c>
      <c r="F498" s="16" t="s">
        <v>17</v>
      </c>
      <c r="G498" s="16" t="s">
        <v>17</v>
      </c>
      <c r="H498" s="16" t="s">
        <v>17</v>
      </c>
      <c r="I498" s="16" t="s">
        <v>17</v>
      </c>
      <c r="J498" s="16" t="s">
        <v>17</v>
      </c>
      <c r="K498" s="16" t="s">
        <v>950</v>
      </c>
      <c r="L498" s="16" t="s">
        <v>17</v>
      </c>
      <c r="M498" s="16" t="s">
        <v>7934</v>
      </c>
      <c r="N498" s="16" t="s">
        <v>17</v>
      </c>
      <c r="O498" s="16" t="s">
        <v>6921</v>
      </c>
      <c r="P498" s="16" t="s">
        <v>17</v>
      </c>
      <c r="Q498" s="16" t="s">
        <v>6922</v>
      </c>
      <c r="R498" s="16" t="s">
        <v>6923</v>
      </c>
      <c r="S498" s="16" t="s">
        <v>17</v>
      </c>
      <c r="T498" s="16" t="s">
        <v>7935</v>
      </c>
      <c r="U498" s="16" t="s">
        <v>17</v>
      </c>
      <c r="V498" s="16" t="s">
        <v>6944</v>
      </c>
      <c r="W498" s="16" t="s">
        <v>7936</v>
      </c>
      <c r="X498" s="16" t="s">
        <v>7934</v>
      </c>
      <c r="Y498" s="16" t="s">
        <v>17</v>
      </c>
      <c r="Z498" s="16" t="s">
        <v>6926</v>
      </c>
    </row>
    <row r="499" spans="1:26" x14ac:dyDescent="0.3">
      <c r="A499" s="16">
        <v>498</v>
      </c>
      <c r="B499" s="16" t="s">
        <v>7400</v>
      </c>
      <c r="C499" s="17">
        <v>9781264268184</v>
      </c>
      <c r="D499" s="17">
        <v>9781264268184</v>
      </c>
      <c r="E499" s="16" t="s">
        <v>7401</v>
      </c>
      <c r="F499" s="16" t="s">
        <v>17</v>
      </c>
      <c r="G499" s="16" t="s">
        <v>17</v>
      </c>
      <c r="H499" s="16" t="s">
        <v>17</v>
      </c>
      <c r="I499" s="16" t="s">
        <v>17</v>
      </c>
      <c r="J499" s="16" t="s">
        <v>17</v>
      </c>
      <c r="K499" s="16" t="s">
        <v>415</v>
      </c>
      <c r="L499" s="16" t="s">
        <v>7402</v>
      </c>
      <c r="M499" s="16" t="s">
        <v>7400</v>
      </c>
      <c r="N499" s="16" t="s">
        <v>17</v>
      </c>
      <c r="O499" s="16" t="s">
        <v>6921</v>
      </c>
      <c r="P499" s="16" t="s">
        <v>17</v>
      </c>
      <c r="Q499" s="16" t="s">
        <v>6922</v>
      </c>
      <c r="R499" s="16" t="s">
        <v>6923</v>
      </c>
      <c r="S499" s="16" t="s">
        <v>17</v>
      </c>
      <c r="T499" s="16" t="s">
        <v>7401</v>
      </c>
      <c r="U499" s="16" t="s">
        <v>17</v>
      </c>
      <c r="V499" s="16" t="s">
        <v>7403</v>
      </c>
      <c r="W499" s="16" t="s">
        <v>17</v>
      </c>
      <c r="X499" s="16" t="s">
        <v>7400</v>
      </c>
      <c r="Y499" s="16" t="s">
        <v>17</v>
      </c>
      <c r="Z499" s="16" t="s">
        <v>6926</v>
      </c>
    </row>
    <row r="500" spans="1:26" x14ac:dyDescent="0.3">
      <c r="A500" s="16">
        <v>499</v>
      </c>
      <c r="B500" s="16" t="s">
        <v>7400</v>
      </c>
      <c r="C500" s="17">
        <v>9780071850032</v>
      </c>
      <c r="D500" s="17">
        <v>9780071850032</v>
      </c>
      <c r="E500" s="16" t="s">
        <v>7870</v>
      </c>
      <c r="F500" s="16" t="s">
        <v>17</v>
      </c>
      <c r="G500" s="16" t="s">
        <v>17</v>
      </c>
      <c r="H500" s="16" t="s">
        <v>17</v>
      </c>
      <c r="I500" s="16" t="s">
        <v>17</v>
      </c>
      <c r="J500" s="16" t="s">
        <v>17</v>
      </c>
      <c r="K500" s="16" t="s">
        <v>1145</v>
      </c>
      <c r="L500" s="16" t="s">
        <v>8067</v>
      </c>
      <c r="M500" s="16" t="s">
        <v>7400</v>
      </c>
      <c r="N500" s="16" t="s">
        <v>17</v>
      </c>
      <c r="O500" s="16" t="s">
        <v>6921</v>
      </c>
      <c r="P500" s="16" t="s">
        <v>17</v>
      </c>
      <c r="Q500" s="16" t="s">
        <v>6922</v>
      </c>
      <c r="R500" s="16" t="s">
        <v>6923</v>
      </c>
      <c r="S500" s="16" t="s">
        <v>17</v>
      </c>
      <c r="T500" s="16" t="s">
        <v>7870</v>
      </c>
      <c r="U500" s="16" t="s">
        <v>17</v>
      </c>
      <c r="V500" s="16" t="s">
        <v>8068</v>
      </c>
      <c r="W500" s="16" t="s">
        <v>17</v>
      </c>
      <c r="X500" s="16" t="s">
        <v>7400</v>
      </c>
      <c r="Y500" s="16" t="s">
        <v>17</v>
      </c>
      <c r="Z500" s="16" t="s">
        <v>6926</v>
      </c>
    </row>
    <row r="501" spans="1:26" x14ac:dyDescent="0.3">
      <c r="A501" s="16">
        <v>500</v>
      </c>
      <c r="B501" s="16" t="s">
        <v>960</v>
      </c>
      <c r="C501" s="17">
        <v>9780071742580</v>
      </c>
      <c r="D501" s="17">
        <v>9780071742580</v>
      </c>
      <c r="E501" s="16" t="s">
        <v>7105</v>
      </c>
      <c r="F501" s="16" t="s">
        <v>17</v>
      </c>
      <c r="G501" s="16" t="s">
        <v>17</v>
      </c>
      <c r="H501" s="16" t="s">
        <v>17</v>
      </c>
      <c r="I501" s="16" t="s">
        <v>17</v>
      </c>
      <c r="J501" s="16" t="s">
        <v>17</v>
      </c>
      <c r="K501" s="16" t="s">
        <v>962</v>
      </c>
      <c r="L501" s="16" t="s">
        <v>961</v>
      </c>
      <c r="M501" s="16" t="s">
        <v>960</v>
      </c>
      <c r="N501" s="16" t="s">
        <v>17</v>
      </c>
      <c r="O501" s="16" t="s">
        <v>6921</v>
      </c>
      <c r="P501" s="16" t="s">
        <v>17</v>
      </c>
      <c r="Q501" s="16" t="s">
        <v>6922</v>
      </c>
      <c r="R501" s="16" t="s">
        <v>6923</v>
      </c>
      <c r="S501" s="16" t="s">
        <v>17</v>
      </c>
      <c r="T501" s="16" t="s">
        <v>7105</v>
      </c>
      <c r="U501" s="16" t="s">
        <v>17</v>
      </c>
      <c r="V501" s="16" t="s">
        <v>7939</v>
      </c>
      <c r="W501" s="16" t="s">
        <v>17</v>
      </c>
      <c r="X501" s="16" t="s">
        <v>960</v>
      </c>
      <c r="Y501" s="16" t="s">
        <v>17</v>
      </c>
      <c r="Z501" s="16" t="s">
        <v>6926</v>
      </c>
    </row>
    <row r="502" spans="1:26" x14ac:dyDescent="0.3">
      <c r="A502" s="16">
        <v>501</v>
      </c>
      <c r="B502" s="16" t="s">
        <v>8415</v>
      </c>
      <c r="C502" s="17">
        <v>9781260441703</v>
      </c>
      <c r="D502" s="17">
        <v>9781260441703</v>
      </c>
      <c r="E502" s="16" t="s">
        <v>8416</v>
      </c>
      <c r="F502" s="16" t="s">
        <v>17</v>
      </c>
      <c r="G502" s="16" t="s">
        <v>17</v>
      </c>
      <c r="H502" s="16" t="s">
        <v>17</v>
      </c>
      <c r="I502" s="16" t="s">
        <v>17</v>
      </c>
      <c r="J502" s="16" t="s">
        <v>17</v>
      </c>
      <c r="K502" s="16" t="s">
        <v>1608</v>
      </c>
      <c r="L502" s="16" t="s">
        <v>1607</v>
      </c>
      <c r="M502" s="16" t="s">
        <v>8415</v>
      </c>
      <c r="N502" s="16" t="s">
        <v>17</v>
      </c>
      <c r="O502" s="16" t="s">
        <v>6921</v>
      </c>
      <c r="P502" s="16" t="s">
        <v>17</v>
      </c>
      <c r="Q502" s="16" t="s">
        <v>6922</v>
      </c>
      <c r="R502" s="16" t="s">
        <v>6923</v>
      </c>
      <c r="S502" s="16" t="s">
        <v>17</v>
      </c>
      <c r="T502" s="16" t="s">
        <v>8416</v>
      </c>
      <c r="U502" s="16" t="s">
        <v>17</v>
      </c>
      <c r="V502" s="16" t="s">
        <v>7027</v>
      </c>
      <c r="W502" s="16" t="s">
        <v>17</v>
      </c>
      <c r="X502" s="16" t="s">
        <v>8415</v>
      </c>
      <c r="Y502" s="16" t="s">
        <v>17</v>
      </c>
      <c r="Z502" s="16" t="s">
        <v>6926</v>
      </c>
    </row>
    <row r="503" spans="1:26" x14ac:dyDescent="0.3">
      <c r="A503" s="16">
        <v>502</v>
      </c>
      <c r="B503" s="16" t="s">
        <v>8179</v>
      </c>
      <c r="C503" s="17">
        <v>9781259584275</v>
      </c>
      <c r="D503" s="17">
        <v>9781259584275</v>
      </c>
      <c r="E503" s="16" t="s">
        <v>7213</v>
      </c>
      <c r="F503" s="16" t="s">
        <v>17</v>
      </c>
      <c r="G503" s="16" t="s">
        <v>17</v>
      </c>
      <c r="H503" s="16" t="s">
        <v>17</v>
      </c>
      <c r="I503" s="16" t="s">
        <v>17</v>
      </c>
      <c r="J503" s="16" t="s">
        <v>17</v>
      </c>
      <c r="K503" s="16" t="s">
        <v>1260</v>
      </c>
      <c r="L503" s="16" t="s">
        <v>954</v>
      </c>
      <c r="M503" s="16" t="s">
        <v>8179</v>
      </c>
      <c r="N503" s="16" t="s">
        <v>17</v>
      </c>
      <c r="O503" s="16" t="s">
        <v>6921</v>
      </c>
      <c r="P503" s="16" t="s">
        <v>17</v>
      </c>
      <c r="Q503" s="16" t="s">
        <v>6922</v>
      </c>
      <c r="R503" s="16" t="s">
        <v>6923</v>
      </c>
      <c r="S503" s="16" t="s">
        <v>17</v>
      </c>
      <c r="T503" s="16" t="s">
        <v>7213</v>
      </c>
      <c r="U503" s="16" t="s">
        <v>17</v>
      </c>
      <c r="V503" s="16" t="s">
        <v>6929</v>
      </c>
      <c r="W503" s="16" t="s">
        <v>17</v>
      </c>
      <c r="X503" s="16" t="s">
        <v>8179</v>
      </c>
      <c r="Y503" s="16" t="s">
        <v>17</v>
      </c>
      <c r="Z503" s="16" t="s">
        <v>6926</v>
      </c>
    </row>
    <row r="504" spans="1:26" x14ac:dyDescent="0.3">
      <c r="A504" s="16">
        <v>503</v>
      </c>
      <c r="B504" s="16" t="s">
        <v>7081</v>
      </c>
      <c r="C504" s="17">
        <v>9780071367073</v>
      </c>
      <c r="D504" s="17">
        <v>9780071367073</v>
      </c>
      <c r="E504" s="16" t="s">
        <v>6920</v>
      </c>
      <c r="F504" s="16" t="s">
        <v>17</v>
      </c>
      <c r="G504" s="16" t="s">
        <v>17</v>
      </c>
      <c r="H504" s="16" t="s">
        <v>17</v>
      </c>
      <c r="I504" s="16" t="s">
        <v>17</v>
      </c>
      <c r="J504" s="16" t="s">
        <v>17</v>
      </c>
      <c r="K504" s="16" t="s">
        <v>145</v>
      </c>
      <c r="L504" s="16" t="s">
        <v>144</v>
      </c>
      <c r="M504" s="16" t="s">
        <v>7081</v>
      </c>
      <c r="N504" s="16" t="s">
        <v>17</v>
      </c>
      <c r="O504" s="16" t="s">
        <v>6921</v>
      </c>
      <c r="P504" s="16" t="s">
        <v>17</v>
      </c>
      <c r="Q504" s="16" t="s">
        <v>6922</v>
      </c>
      <c r="R504" s="16" t="s">
        <v>6923</v>
      </c>
      <c r="S504" s="16" t="s">
        <v>17</v>
      </c>
      <c r="T504" s="16" t="s">
        <v>6920</v>
      </c>
      <c r="U504" s="16" t="s">
        <v>17</v>
      </c>
      <c r="V504" s="16" t="s">
        <v>6924</v>
      </c>
      <c r="W504" s="16" t="s">
        <v>17</v>
      </c>
      <c r="X504" s="16" t="s">
        <v>7081</v>
      </c>
      <c r="Y504" s="16" t="s">
        <v>17</v>
      </c>
      <c r="Z504" s="16" t="s">
        <v>6926</v>
      </c>
    </row>
    <row r="505" spans="1:26" x14ac:dyDescent="0.3">
      <c r="A505" s="16">
        <v>504</v>
      </c>
      <c r="B505" s="16" t="s">
        <v>7295</v>
      </c>
      <c r="C505" s="17">
        <v>9781260462296</v>
      </c>
      <c r="D505" s="17">
        <v>9781260462296</v>
      </c>
      <c r="E505" s="16" t="s">
        <v>7296</v>
      </c>
      <c r="F505" s="16" t="s">
        <v>17</v>
      </c>
      <c r="G505" s="16" t="s">
        <v>17</v>
      </c>
      <c r="H505" s="16" t="s">
        <v>17</v>
      </c>
      <c r="I505" s="16" t="s">
        <v>17</v>
      </c>
      <c r="J505" s="16" t="s">
        <v>17</v>
      </c>
      <c r="K505" s="16" t="s">
        <v>315</v>
      </c>
      <c r="L505" s="16" t="s">
        <v>7297</v>
      </c>
      <c r="M505" s="16" t="s">
        <v>7295</v>
      </c>
      <c r="N505" s="16" t="s">
        <v>17</v>
      </c>
      <c r="O505" s="16" t="s">
        <v>6921</v>
      </c>
      <c r="P505" s="16" t="s">
        <v>17</v>
      </c>
      <c r="Q505" s="16" t="s">
        <v>6922</v>
      </c>
      <c r="R505" s="16" t="s">
        <v>6923</v>
      </c>
      <c r="S505" s="16" t="s">
        <v>17</v>
      </c>
      <c r="T505" s="16" t="s">
        <v>7296</v>
      </c>
      <c r="U505" s="16" t="s">
        <v>17</v>
      </c>
      <c r="V505" s="16" t="s">
        <v>6929</v>
      </c>
      <c r="W505" s="16" t="s">
        <v>17</v>
      </c>
      <c r="X505" s="16" t="s">
        <v>7295</v>
      </c>
      <c r="Y505" s="16" t="s">
        <v>17</v>
      </c>
      <c r="Z505" s="16" t="s">
        <v>6926</v>
      </c>
    </row>
    <row r="506" spans="1:26" x14ac:dyDescent="0.3">
      <c r="A506" s="16">
        <v>505</v>
      </c>
      <c r="B506" s="16" t="s">
        <v>6967</v>
      </c>
      <c r="C506" s="17">
        <v>9780070617391</v>
      </c>
      <c r="D506" s="17">
        <v>9780070617391</v>
      </c>
      <c r="E506" s="16" t="s">
        <v>6968</v>
      </c>
      <c r="F506" s="16" t="s">
        <v>17</v>
      </c>
      <c r="G506" s="16" t="s">
        <v>17</v>
      </c>
      <c r="H506" s="16" t="s">
        <v>17</v>
      </c>
      <c r="I506" s="16" t="s">
        <v>17</v>
      </c>
      <c r="J506" s="16" t="s">
        <v>17</v>
      </c>
      <c r="K506" s="16" t="s">
        <v>47</v>
      </c>
      <c r="L506" s="16" t="s">
        <v>6969</v>
      </c>
      <c r="M506" s="16" t="s">
        <v>6967</v>
      </c>
      <c r="N506" s="16" t="s">
        <v>17</v>
      </c>
      <c r="O506" s="16" t="s">
        <v>6921</v>
      </c>
      <c r="P506" s="16" t="s">
        <v>17</v>
      </c>
      <c r="Q506" s="16" t="s">
        <v>6922</v>
      </c>
      <c r="R506" s="16" t="s">
        <v>6923</v>
      </c>
      <c r="S506" s="16" t="s">
        <v>17</v>
      </c>
      <c r="T506" s="16" t="s">
        <v>6968</v>
      </c>
      <c r="U506" s="16" t="s">
        <v>17</v>
      </c>
      <c r="V506" s="16" t="s">
        <v>6929</v>
      </c>
      <c r="W506" s="16" t="s">
        <v>17</v>
      </c>
      <c r="X506" s="16" t="s">
        <v>6967</v>
      </c>
      <c r="Y506" s="16" t="s">
        <v>17</v>
      </c>
      <c r="Z506" s="16" t="s">
        <v>6926</v>
      </c>
    </row>
    <row r="507" spans="1:26" x14ac:dyDescent="0.3">
      <c r="A507" s="16">
        <v>506</v>
      </c>
      <c r="B507" s="16" t="s">
        <v>8229</v>
      </c>
      <c r="C507" s="17">
        <v>9780071812221</v>
      </c>
      <c r="D507" s="17">
        <v>9780071812221</v>
      </c>
      <c r="E507" s="16" t="s">
        <v>7054</v>
      </c>
      <c r="F507" s="16" t="s">
        <v>17</v>
      </c>
      <c r="G507" s="16" t="s">
        <v>17</v>
      </c>
      <c r="H507" s="16" t="s">
        <v>17</v>
      </c>
      <c r="I507" s="16" t="s">
        <v>17</v>
      </c>
      <c r="J507" s="16" t="s">
        <v>17</v>
      </c>
      <c r="K507" s="16" t="s">
        <v>1306</v>
      </c>
      <c r="L507" s="16" t="s">
        <v>1305</v>
      </c>
      <c r="M507" s="16" t="s">
        <v>8229</v>
      </c>
      <c r="N507" s="16" t="s">
        <v>17</v>
      </c>
      <c r="O507" s="16" t="s">
        <v>6921</v>
      </c>
      <c r="P507" s="16" t="s">
        <v>17</v>
      </c>
      <c r="Q507" s="16" t="s">
        <v>6922</v>
      </c>
      <c r="R507" s="16" t="s">
        <v>6923</v>
      </c>
      <c r="S507" s="16" t="s">
        <v>17</v>
      </c>
      <c r="T507" s="16" t="s">
        <v>7054</v>
      </c>
      <c r="U507" s="16" t="s">
        <v>17</v>
      </c>
      <c r="V507" s="16" t="s">
        <v>6929</v>
      </c>
      <c r="W507" s="16" t="s">
        <v>17</v>
      </c>
      <c r="X507" s="16" t="s">
        <v>8229</v>
      </c>
      <c r="Y507" s="16" t="s">
        <v>17</v>
      </c>
      <c r="Z507" s="16" t="s">
        <v>6926</v>
      </c>
    </row>
    <row r="508" spans="1:26" x14ac:dyDescent="0.3">
      <c r="A508" s="16">
        <v>507</v>
      </c>
      <c r="B508" s="16" t="s">
        <v>7025</v>
      </c>
      <c r="C508" s="17">
        <v>9780071826617</v>
      </c>
      <c r="D508" s="17">
        <v>9780071826617</v>
      </c>
      <c r="E508" s="16" t="s">
        <v>7026</v>
      </c>
      <c r="F508" s="16" t="s">
        <v>17</v>
      </c>
      <c r="G508" s="16" t="s">
        <v>17</v>
      </c>
      <c r="H508" s="16" t="s">
        <v>17</v>
      </c>
      <c r="I508" s="16" t="s">
        <v>17</v>
      </c>
      <c r="J508" s="16" t="s">
        <v>17</v>
      </c>
      <c r="K508" s="16" t="s">
        <v>93</v>
      </c>
      <c r="L508" s="16" t="s">
        <v>17</v>
      </c>
      <c r="M508" s="16" t="s">
        <v>7025</v>
      </c>
      <c r="N508" s="16" t="s">
        <v>17</v>
      </c>
      <c r="O508" s="16" t="s">
        <v>6921</v>
      </c>
      <c r="P508" s="16" t="s">
        <v>17</v>
      </c>
      <c r="Q508" s="16" t="s">
        <v>6922</v>
      </c>
      <c r="R508" s="16" t="s">
        <v>6923</v>
      </c>
      <c r="S508" s="16" t="s">
        <v>17</v>
      </c>
      <c r="T508" s="16" t="s">
        <v>7026</v>
      </c>
      <c r="U508" s="16" t="s">
        <v>17</v>
      </c>
      <c r="V508" s="16" t="s">
        <v>7027</v>
      </c>
      <c r="W508" s="16" t="s">
        <v>7028</v>
      </c>
      <c r="X508" s="16" t="s">
        <v>7025</v>
      </c>
      <c r="Y508" s="16" t="s">
        <v>17</v>
      </c>
      <c r="Z508" s="16" t="s">
        <v>6926</v>
      </c>
    </row>
    <row r="509" spans="1:26" x14ac:dyDescent="0.3">
      <c r="A509" s="16">
        <v>508</v>
      </c>
      <c r="B509" s="16" t="s">
        <v>7025</v>
      </c>
      <c r="C509" s="17">
        <v>9781266018923</v>
      </c>
      <c r="D509" s="17">
        <v>9781266018923</v>
      </c>
      <c r="E509" s="16" t="s">
        <v>8465</v>
      </c>
      <c r="F509" s="16" t="s">
        <v>17</v>
      </c>
      <c r="G509" s="16" t="s">
        <v>17</v>
      </c>
      <c r="H509" s="16" t="s">
        <v>17</v>
      </c>
      <c r="I509" s="16" t="s">
        <v>17</v>
      </c>
      <c r="J509" s="16" t="s">
        <v>17</v>
      </c>
      <c r="K509" s="16" t="s">
        <v>1637</v>
      </c>
      <c r="L509" s="16" t="s">
        <v>17</v>
      </c>
      <c r="M509" s="16" t="s">
        <v>7025</v>
      </c>
      <c r="N509" s="16" t="s">
        <v>17</v>
      </c>
      <c r="O509" s="16" t="s">
        <v>6921</v>
      </c>
      <c r="P509" s="16" t="s">
        <v>17</v>
      </c>
      <c r="Q509" s="16" t="s">
        <v>6922</v>
      </c>
      <c r="R509" s="16" t="s">
        <v>6923</v>
      </c>
      <c r="S509" s="16" t="s">
        <v>17</v>
      </c>
      <c r="T509" s="16" t="s">
        <v>8465</v>
      </c>
      <c r="U509" s="16" t="s">
        <v>17</v>
      </c>
      <c r="V509" s="16" t="s">
        <v>7359</v>
      </c>
      <c r="W509" s="16" t="s">
        <v>8466</v>
      </c>
      <c r="X509" s="16" t="s">
        <v>7025</v>
      </c>
      <c r="Y509" s="16" t="s">
        <v>17</v>
      </c>
      <c r="Z509" s="16" t="s">
        <v>6926</v>
      </c>
    </row>
    <row r="510" spans="1:26" x14ac:dyDescent="0.3">
      <c r="A510" s="16">
        <v>509</v>
      </c>
      <c r="B510" s="16" t="s">
        <v>8056</v>
      </c>
      <c r="C510" s="17">
        <v>9780071546461</v>
      </c>
      <c r="D510" s="17">
        <v>9780071546461</v>
      </c>
      <c r="E510" s="16" t="s">
        <v>6920</v>
      </c>
      <c r="F510" s="16" t="s">
        <v>17</v>
      </c>
      <c r="G510" s="16" t="s">
        <v>17</v>
      </c>
      <c r="H510" s="16" t="s">
        <v>17</v>
      </c>
      <c r="I510" s="16" t="s">
        <v>17</v>
      </c>
      <c r="J510" s="16" t="s">
        <v>17</v>
      </c>
      <c r="K510" s="16" t="s">
        <v>1133</v>
      </c>
      <c r="L510" s="16" t="s">
        <v>1132</v>
      </c>
      <c r="M510" s="16" t="s">
        <v>8056</v>
      </c>
      <c r="N510" s="16" t="s">
        <v>17</v>
      </c>
      <c r="O510" s="16" t="s">
        <v>6921</v>
      </c>
      <c r="P510" s="16" t="s">
        <v>17</v>
      </c>
      <c r="Q510" s="16" t="s">
        <v>6922</v>
      </c>
      <c r="R510" s="16" t="s">
        <v>6923</v>
      </c>
      <c r="S510" s="16" t="s">
        <v>17</v>
      </c>
      <c r="T510" s="16" t="s">
        <v>6920</v>
      </c>
      <c r="U510" s="16" t="s">
        <v>17</v>
      </c>
      <c r="V510" s="16" t="s">
        <v>8057</v>
      </c>
      <c r="W510" s="16" t="s">
        <v>17</v>
      </c>
      <c r="X510" s="16" t="s">
        <v>8056</v>
      </c>
      <c r="Y510" s="16" t="s">
        <v>17</v>
      </c>
      <c r="Z510" s="16" t="s">
        <v>6926</v>
      </c>
    </row>
    <row r="511" spans="1:26" x14ac:dyDescent="0.3">
      <c r="A511" s="16">
        <v>510</v>
      </c>
      <c r="B511" s="16" t="s">
        <v>8031</v>
      </c>
      <c r="C511" s="17">
        <v>9781260135282</v>
      </c>
      <c r="D511" s="17">
        <v>9781260135282</v>
      </c>
      <c r="E511" s="16" t="s">
        <v>7423</v>
      </c>
      <c r="F511" s="16" t="s">
        <v>17</v>
      </c>
      <c r="G511" s="16" t="s">
        <v>17</v>
      </c>
      <c r="H511" s="16" t="s">
        <v>17</v>
      </c>
      <c r="I511" s="16" t="s">
        <v>17</v>
      </c>
      <c r="J511" s="16" t="s">
        <v>17</v>
      </c>
      <c r="K511" s="16" t="s">
        <v>1095</v>
      </c>
      <c r="L511" s="16" t="s">
        <v>8032</v>
      </c>
      <c r="M511" s="16" t="s">
        <v>8031</v>
      </c>
      <c r="N511" s="16" t="s">
        <v>17</v>
      </c>
      <c r="O511" s="16" t="s">
        <v>6921</v>
      </c>
      <c r="P511" s="16" t="s">
        <v>17</v>
      </c>
      <c r="Q511" s="16" t="s">
        <v>6922</v>
      </c>
      <c r="R511" s="16" t="s">
        <v>6923</v>
      </c>
      <c r="S511" s="16" t="s">
        <v>17</v>
      </c>
      <c r="T511" s="16" t="s">
        <v>7423</v>
      </c>
      <c r="U511" s="16" t="s">
        <v>17</v>
      </c>
      <c r="V511" s="16" t="s">
        <v>7024</v>
      </c>
      <c r="W511" s="16" t="s">
        <v>17</v>
      </c>
      <c r="X511" s="16" t="s">
        <v>8031</v>
      </c>
      <c r="Y511" s="16" t="s">
        <v>17</v>
      </c>
      <c r="Z511" s="16" t="s">
        <v>6926</v>
      </c>
    </row>
    <row r="512" spans="1:26" x14ac:dyDescent="0.3">
      <c r="A512" s="16">
        <v>511</v>
      </c>
      <c r="B512" s="16" t="s">
        <v>892</v>
      </c>
      <c r="C512" s="17">
        <v>9780071784115</v>
      </c>
      <c r="D512" s="17">
        <v>9780071784115</v>
      </c>
      <c r="E512" s="16" t="s">
        <v>7275</v>
      </c>
      <c r="F512" s="16" t="s">
        <v>17</v>
      </c>
      <c r="G512" s="16" t="s">
        <v>17</v>
      </c>
      <c r="H512" s="16" t="s">
        <v>17</v>
      </c>
      <c r="I512" s="16" t="s">
        <v>17</v>
      </c>
      <c r="J512" s="16" t="s">
        <v>17</v>
      </c>
      <c r="K512" s="16" t="s">
        <v>894</v>
      </c>
      <c r="L512" s="16" t="s">
        <v>893</v>
      </c>
      <c r="M512" s="16" t="s">
        <v>892</v>
      </c>
      <c r="N512" s="16" t="s">
        <v>17</v>
      </c>
      <c r="O512" s="16" t="s">
        <v>6921</v>
      </c>
      <c r="P512" s="16" t="s">
        <v>17</v>
      </c>
      <c r="Q512" s="16" t="s">
        <v>6922</v>
      </c>
      <c r="R512" s="16" t="s">
        <v>6923</v>
      </c>
      <c r="S512" s="16" t="s">
        <v>17</v>
      </c>
      <c r="T512" s="16" t="s">
        <v>7275</v>
      </c>
      <c r="U512" s="16" t="s">
        <v>17</v>
      </c>
      <c r="V512" s="16" t="s">
        <v>7892</v>
      </c>
      <c r="W512" s="16" t="s">
        <v>17</v>
      </c>
      <c r="X512" s="16" t="s">
        <v>892</v>
      </c>
      <c r="Y512" s="16" t="s">
        <v>17</v>
      </c>
      <c r="Z512" s="16" t="s">
        <v>6926</v>
      </c>
    </row>
    <row r="513" spans="1:26" x14ac:dyDescent="0.3">
      <c r="A513" s="16">
        <v>512</v>
      </c>
      <c r="B513" s="16" t="s">
        <v>488</v>
      </c>
      <c r="C513" s="17">
        <v>9780071819251</v>
      </c>
      <c r="D513" s="17">
        <v>9780071819251</v>
      </c>
      <c r="E513" s="16" t="s">
        <v>7478</v>
      </c>
      <c r="F513" s="16" t="s">
        <v>17</v>
      </c>
      <c r="G513" s="16" t="s">
        <v>17</v>
      </c>
      <c r="H513" s="16" t="s">
        <v>17</v>
      </c>
      <c r="I513" s="16" t="s">
        <v>17</v>
      </c>
      <c r="J513" s="16" t="s">
        <v>17</v>
      </c>
      <c r="K513" s="16" t="s">
        <v>489</v>
      </c>
      <c r="L513" s="16" t="s">
        <v>27</v>
      </c>
      <c r="M513" s="16" t="s">
        <v>488</v>
      </c>
      <c r="N513" s="16" t="s">
        <v>17</v>
      </c>
      <c r="O513" s="16" t="s">
        <v>6921</v>
      </c>
      <c r="P513" s="16" t="s">
        <v>17</v>
      </c>
      <c r="Q513" s="16" t="s">
        <v>6922</v>
      </c>
      <c r="R513" s="16" t="s">
        <v>6923</v>
      </c>
      <c r="S513" s="16" t="s">
        <v>17</v>
      </c>
      <c r="T513" s="16" t="s">
        <v>7478</v>
      </c>
      <c r="U513" s="16" t="s">
        <v>17</v>
      </c>
      <c r="V513" s="16" t="s">
        <v>7049</v>
      </c>
      <c r="W513" s="16" t="s">
        <v>17</v>
      </c>
      <c r="X513" s="16" t="s">
        <v>488</v>
      </c>
      <c r="Y513" s="16" t="s">
        <v>17</v>
      </c>
      <c r="Z513" s="16" t="s">
        <v>6926</v>
      </c>
    </row>
    <row r="514" spans="1:26" x14ac:dyDescent="0.3">
      <c r="A514" s="16">
        <v>513</v>
      </c>
      <c r="B514" s="16" t="s">
        <v>488</v>
      </c>
      <c r="C514" s="17">
        <v>9781260019193</v>
      </c>
      <c r="D514" s="17">
        <v>9781260019193</v>
      </c>
      <c r="E514" s="16" t="s">
        <v>7988</v>
      </c>
      <c r="F514" s="16" t="s">
        <v>17</v>
      </c>
      <c r="G514" s="16" t="s">
        <v>17</v>
      </c>
      <c r="H514" s="16" t="s">
        <v>17</v>
      </c>
      <c r="I514" s="16" t="s">
        <v>17</v>
      </c>
      <c r="J514" s="16" t="s">
        <v>17</v>
      </c>
      <c r="K514" s="16" t="s">
        <v>1060</v>
      </c>
      <c r="L514" s="16" t="s">
        <v>6937</v>
      </c>
      <c r="M514" s="16" t="s">
        <v>488</v>
      </c>
      <c r="N514" s="16" t="s">
        <v>17</v>
      </c>
      <c r="O514" s="16" t="s">
        <v>6921</v>
      </c>
      <c r="P514" s="16" t="s">
        <v>17</v>
      </c>
      <c r="Q514" s="16" t="s">
        <v>6922</v>
      </c>
      <c r="R514" s="16" t="s">
        <v>6923</v>
      </c>
      <c r="S514" s="16" t="s">
        <v>17</v>
      </c>
      <c r="T514" s="16" t="s">
        <v>7988</v>
      </c>
      <c r="U514" s="16" t="s">
        <v>17</v>
      </c>
      <c r="V514" s="16" t="s">
        <v>6924</v>
      </c>
      <c r="W514" s="16" t="s">
        <v>17</v>
      </c>
      <c r="X514" s="16" t="s">
        <v>488</v>
      </c>
      <c r="Y514" s="16" t="s">
        <v>17</v>
      </c>
      <c r="Z514" s="16" t="s">
        <v>6926</v>
      </c>
    </row>
    <row r="515" spans="1:26" x14ac:dyDescent="0.3">
      <c r="A515" s="16">
        <v>514</v>
      </c>
      <c r="B515" s="16" t="s">
        <v>7329</v>
      </c>
      <c r="C515" s="17">
        <v>9780071606165</v>
      </c>
      <c r="D515" s="17">
        <v>9780071606165</v>
      </c>
      <c r="E515" s="16" t="s">
        <v>6920</v>
      </c>
      <c r="F515" s="16" t="s">
        <v>17</v>
      </c>
      <c r="G515" s="16" t="s">
        <v>17</v>
      </c>
      <c r="H515" s="16" t="s">
        <v>17</v>
      </c>
      <c r="I515" s="16" t="s">
        <v>17</v>
      </c>
      <c r="J515" s="16" t="s">
        <v>17</v>
      </c>
      <c r="K515" s="16" t="s">
        <v>354</v>
      </c>
      <c r="L515" s="16" t="s">
        <v>7330</v>
      </c>
      <c r="M515" s="16" t="s">
        <v>7329</v>
      </c>
      <c r="N515" s="16" t="s">
        <v>17</v>
      </c>
      <c r="O515" s="16" t="s">
        <v>6921</v>
      </c>
      <c r="P515" s="16" t="s">
        <v>17</v>
      </c>
      <c r="Q515" s="16" t="s">
        <v>6922</v>
      </c>
      <c r="R515" s="16" t="s">
        <v>6923</v>
      </c>
      <c r="S515" s="16" t="s">
        <v>17</v>
      </c>
      <c r="T515" s="16" t="s">
        <v>6920</v>
      </c>
      <c r="U515" s="16" t="s">
        <v>17</v>
      </c>
      <c r="V515" s="16" t="s">
        <v>6929</v>
      </c>
      <c r="W515" s="16" t="s">
        <v>17</v>
      </c>
      <c r="X515" s="16" t="s">
        <v>7329</v>
      </c>
      <c r="Y515" s="16" t="s">
        <v>17</v>
      </c>
      <c r="Z515" s="16" t="s">
        <v>6926</v>
      </c>
    </row>
    <row r="516" spans="1:26" x14ac:dyDescent="0.3">
      <c r="A516" s="16">
        <v>515</v>
      </c>
      <c r="B516" s="16" t="s">
        <v>8257</v>
      </c>
      <c r="C516" s="17">
        <v>9780071741675</v>
      </c>
      <c r="D516" s="17">
        <v>9780071741675</v>
      </c>
      <c r="E516" s="16" t="s">
        <v>7033</v>
      </c>
      <c r="F516" s="16" t="s">
        <v>17</v>
      </c>
      <c r="G516" s="16" t="s">
        <v>17</v>
      </c>
      <c r="H516" s="16" t="s">
        <v>17</v>
      </c>
      <c r="I516" s="16" t="s">
        <v>17</v>
      </c>
      <c r="J516" s="16" t="s">
        <v>17</v>
      </c>
      <c r="K516" s="16" t="s">
        <v>1327</v>
      </c>
      <c r="L516" s="16" t="s">
        <v>1326</v>
      </c>
      <c r="M516" s="16" t="s">
        <v>8257</v>
      </c>
      <c r="N516" s="16" t="s">
        <v>17</v>
      </c>
      <c r="O516" s="16" t="s">
        <v>6921</v>
      </c>
      <c r="P516" s="16" t="s">
        <v>17</v>
      </c>
      <c r="Q516" s="16" t="s">
        <v>6922</v>
      </c>
      <c r="R516" s="16" t="s">
        <v>6923</v>
      </c>
      <c r="S516" s="16" t="s">
        <v>17</v>
      </c>
      <c r="T516" s="16" t="s">
        <v>7033</v>
      </c>
      <c r="U516" s="16" t="s">
        <v>17</v>
      </c>
      <c r="V516" s="16" t="s">
        <v>6929</v>
      </c>
      <c r="W516" s="16" t="s">
        <v>17</v>
      </c>
      <c r="X516" s="16" t="s">
        <v>8257</v>
      </c>
      <c r="Y516" s="16" t="s">
        <v>17</v>
      </c>
      <c r="Z516" s="16" t="s">
        <v>6926</v>
      </c>
    </row>
    <row r="517" spans="1:26" x14ac:dyDescent="0.3">
      <c r="A517" s="16">
        <v>516</v>
      </c>
      <c r="B517" s="16" t="s">
        <v>7994</v>
      </c>
      <c r="C517" s="17">
        <v>9780071772266</v>
      </c>
      <c r="D517" s="17">
        <v>9780071772266</v>
      </c>
      <c r="E517" s="16" t="s">
        <v>7185</v>
      </c>
      <c r="F517" s="16" t="s">
        <v>17</v>
      </c>
      <c r="G517" s="16" t="s">
        <v>17</v>
      </c>
      <c r="H517" s="16" t="s">
        <v>17</v>
      </c>
      <c r="I517" s="16" t="s">
        <v>17</v>
      </c>
      <c r="J517" s="16" t="s">
        <v>17</v>
      </c>
      <c r="K517" s="16" t="s">
        <v>1048</v>
      </c>
      <c r="L517" s="16" t="s">
        <v>7995</v>
      </c>
      <c r="M517" s="16" t="s">
        <v>7994</v>
      </c>
      <c r="N517" s="16" t="s">
        <v>17</v>
      </c>
      <c r="O517" s="16" t="s">
        <v>6921</v>
      </c>
      <c r="P517" s="16" t="s">
        <v>17</v>
      </c>
      <c r="Q517" s="16" t="s">
        <v>6922</v>
      </c>
      <c r="R517" s="16" t="s">
        <v>6923</v>
      </c>
      <c r="S517" s="16" t="s">
        <v>17</v>
      </c>
      <c r="T517" s="16" t="s">
        <v>7185</v>
      </c>
      <c r="U517" s="16" t="s">
        <v>17</v>
      </c>
      <c r="V517" s="16" t="s">
        <v>6924</v>
      </c>
      <c r="W517" s="16" t="s">
        <v>17</v>
      </c>
      <c r="X517" s="16" t="s">
        <v>7994</v>
      </c>
      <c r="Y517" s="16" t="s">
        <v>17</v>
      </c>
      <c r="Z517" s="16" t="s">
        <v>6926</v>
      </c>
    </row>
    <row r="518" spans="1:26" x14ac:dyDescent="0.3">
      <c r="A518" s="16">
        <v>517</v>
      </c>
      <c r="B518" s="16" t="s">
        <v>7169</v>
      </c>
      <c r="C518" s="17">
        <v>9780071627979</v>
      </c>
      <c r="D518" s="17">
        <v>9780071627979</v>
      </c>
      <c r="E518" s="16" t="s">
        <v>6939</v>
      </c>
      <c r="F518" s="16" t="s">
        <v>17</v>
      </c>
      <c r="G518" s="16" t="s">
        <v>17</v>
      </c>
      <c r="H518" s="16" t="s">
        <v>17</v>
      </c>
      <c r="I518" s="16" t="s">
        <v>17</v>
      </c>
      <c r="J518" s="16" t="s">
        <v>17</v>
      </c>
      <c r="K518" s="16" t="s">
        <v>221</v>
      </c>
      <c r="L518" s="16" t="s">
        <v>219</v>
      </c>
      <c r="M518" s="16" t="s">
        <v>7169</v>
      </c>
      <c r="N518" s="16" t="s">
        <v>17</v>
      </c>
      <c r="O518" s="16" t="s">
        <v>6921</v>
      </c>
      <c r="P518" s="16" t="s">
        <v>17</v>
      </c>
      <c r="Q518" s="16" t="s">
        <v>6922</v>
      </c>
      <c r="R518" s="16" t="s">
        <v>6923</v>
      </c>
      <c r="S518" s="16" t="s">
        <v>17</v>
      </c>
      <c r="T518" s="16" t="s">
        <v>6939</v>
      </c>
      <c r="U518" s="16" t="s">
        <v>17</v>
      </c>
      <c r="V518" s="16" t="s">
        <v>6929</v>
      </c>
      <c r="W518" s="16" t="s">
        <v>17</v>
      </c>
      <c r="X518" s="16" t="s">
        <v>7169</v>
      </c>
      <c r="Y518" s="16" t="s">
        <v>17</v>
      </c>
      <c r="Z518" s="16" t="s">
        <v>6926</v>
      </c>
    </row>
    <row r="519" spans="1:26" x14ac:dyDescent="0.3">
      <c r="A519" s="16">
        <v>518</v>
      </c>
      <c r="B519" s="16" t="s">
        <v>8109</v>
      </c>
      <c r="C519" s="17">
        <v>9780071769471</v>
      </c>
      <c r="D519" s="17">
        <v>9780071769471</v>
      </c>
      <c r="E519" s="16" t="s">
        <v>6939</v>
      </c>
      <c r="F519" s="16" t="s">
        <v>17</v>
      </c>
      <c r="G519" s="16" t="s">
        <v>17</v>
      </c>
      <c r="H519" s="16" t="s">
        <v>17</v>
      </c>
      <c r="I519" s="16" t="s">
        <v>17</v>
      </c>
      <c r="J519" s="16" t="s">
        <v>17</v>
      </c>
      <c r="K519" s="16" t="s">
        <v>1193</v>
      </c>
      <c r="L519" s="16" t="s">
        <v>1192</v>
      </c>
      <c r="M519" s="16" t="s">
        <v>8109</v>
      </c>
      <c r="N519" s="16" t="s">
        <v>17</v>
      </c>
      <c r="O519" s="16" t="s">
        <v>6921</v>
      </c>
      <c r="P519" s="16" t="s">
        <v>17</v>
      </c>
      <c r="Q519" s="16" t="s">
        <v>6922</v>
      </c>
      <c r="R519" s="16" t="s">
        <v>6923</v>
      </c>
      <c r="S519" s="16" t="s">
        <v>17</v>
      </c>
      <c r="T519" s="16" t="s">
        <v>6939</v>
      </c>
      <c r="U519" s="16" t="s">
        <v>17</v>
      </c>
      <c r="V519" s="16" t="s">
        <v>6929</v>
      </c>
      <c r="W519" s="16" t="s">
        <v>17</v>
      </c>
      <c r="X519" s="16" t="s">
        <v>8109</v>
      </c>
      <c r="Y519" s="16" t="s">
        <v>17</v>
      </c>
      <c r="Z519" s="16" t="s">
        <v>6926</v>
      </c>
    </row>
    <row r="520" spans="1:26" x14ac:dyDescent="0.3">
      <c r="A520" s="16">
        <v>519</v>
      </c>
      <c r="B520" s="16" t="s">
        <v>8413</v>
      </c>
      <c r="C520" s="17">
        <v>9780071772259</v>
      </c>
      <c r="D520" s="17">
        <v>9780071772259</v>
      </c>
      <c r="E520" s="16" t="s">
        <v>8414</v>
      </c>
      <c r="F520" s="16" t="s">
        <v>17</v>
      </c>
      <c r="G520" s="16" t="s">
        <v>17</v>
      </c>
      <c r="H520" s="16" t="s">
        <v>17</v>
      </c>
      <c r="I520" s="16" t="s">
        <v>17</v>
      </c>
      <c r="J520" s="16" t="s">
        <v>17</v>
      </c>
      <c r="K520" s="16" t="s">
        <v>1606</v>
      </c>
      <c r="L520" s="16" t="s">
        <v>226</v>
      </c>
      <c r="M520" s="16" t="s">
        <v>8413</v>
      </c>
      <c r="N520" s="16" t="s">
        <v>17</v>
      </c>
      <c r="O520" s="16" t="s">
        <v>6921</v>
      </c>
      <c r="P520" s="16" t="s">
        <v>17</v>
      </c>
      <c r="Q520" s="16" t="s">
        <v>6922</v>
      </c>
      <c r="R520" s="16" t="s">
        <v>6923</v>
      </c>
      <c r="S520" s="16" t="s">
        <v>17</v>
      </c>
      <c r="T520" s="16" t="s">
        <v>8414</v>
      </c>
      <c r="U520" s="16" t="s">
        <v>17</v>
      </c>
      <c r="V520" s="16" t="s">
        <v>6924</v>
      </c>
      <c r="W520" s="16" t="s">
        <v>17</v>
      </c>
      <c r="X520" s="16" t="s">
        <v>8413</v>
      </c>
      <c r="Y520" s="16" t="s">
        <v>17</v>
      </c>
      <c r="Z520" s="16" t="s">
        <v>6926</v>
      </c>
    </row>
    <row r="521" spans="1:26" x14ac:dyDescent="0.3">
      <c r="A521" s="16">
        <v>520</v>
      </c>
      <c r="B521" s="16" t="s">
        <v>7177</v>
      </c>
      <c r="C521" s="17">
        <v>9780071421737</v>
      </c>
      <c r="D521" s="17">
        <v>9780071421737</v>
      </c>
      <c r="E521" s="16" t="s">
        <v>7178</v>
      </c>
      <c r="F521" s="16" t="s">
        <v>17</v>
      </c>
      <c r="G521" s="16" t="s">
        <v>17</v>
      </c>
      <c r="H521" s="16" t="s">
        <v>17</v>
      </c>
      <c r="I521" s="16" t="s">
        <v>17</v>
      </c>
      <c r="J521" s="16" t="s">
        <v>17</v>
      </c>
      <c r="K521" s="16" t="s">
        <v>227</v>
      </c>
      <c r="L521" s="16" t="s">
        <v>226</v>
      </c>
      <c r="M521" s="16" t="s">
        <v>7177</v>
      </c>
      <c r="N521" s="16" t="s">
        <v>17</v>
      </c>
      <c r="O521" s="16" t="s">
        <v>6921</v>
      </c>
      <c r="P521" s="16" t="s">
        <v>17</v>
      </c>
      <c r="Q521" s="16" t="s">
        <v>6922</v>
      </c>
      <c r="R521" s="16" t="s">
        <v>6923</v>
      </c>
      <c r="S521" s="16" t="s">
        <v>17</v>
      </c>
      <c r="T521" s="16" t="s">
        <v>7178</v>
      </c>
      <c r="U521" s="16" t="s">
        <v>17</v>
      </c>
      <c r="V521" s="16" t="s">
        <v>6929</v>
      </c>
      <c r="W521" s="16" t="s">
        <v>17</v>
      </c>
      <c r="X521" s="16" t="s">
        <v>7177</v>
      </c>
      <c r="Y521" s="16" t="s">
        <v>17</v>
      </c>
      <c r="Z521" s="16" t="s">
        <v>6926</v>
      </c>
    </row>
    <row r="522" spans="1:26" x14ac:dyDescent="0.3">
      <c r="A522" s="16">
        <v>521</v>
      </c>
      <c r="B522" s="16" t="s">
        <v>7395</v>
      </c>
      <c r="C522" s="17">
        <v>9780071754934</v>
      </c>
      <c r="D522" s="17">
        <v>9780071754934</v>
      </c>
      <c r="E522" s="16" t="s">
        <v>7185</v>
      </c>
      <c r="F522" s="16" t="s">
        <v>17</v>
      </c>
      <c r="G522" s="16" t="s">
        <v>17</v>
      </c>
      <c r="H522" s="16" t="s">
        <v>17</v>
      </c>
      <c r="I522" s="16" t="s">
        <v>17</v>
      </c>
      <c r="J522" s="16" t="s">
        <v>17</v>
      </c>
      <c r="K522" s="16" t="s">
        <v>410</v>
      </c>
      <c r="L522" s="16" t="s">
        <v>409</v>
      </c>
      <c r="M522" s="16" t="s">
        <v>7395</v>
      </c>
      <c r="N522" s="16" t="s">
        <v>17</v>
      </c>
      <c r="O522" s="16" t="s">
        <v>6921</v>
      </c>
      <c r="P522" s="16" t="s">
        <v>17</v>
      </c>
      <c r="Q522" s="16" t="s">
        <v>6922</v>
      </c>
      <c r="R522" s="16" t="s">
        <v>6923</v>
      </c>
      <c r="S522" s="16" t="s">
        <v>17</v>
      </c>
      <c r="T522" s="16" t="s">
        <v>7185</v>
      </c>
      <c r="U522" s="16" t="s">
        <v>17</v>
      </c>
      <c r="V522" s="16" t="s">
        <v>6929</v>
      </c>
      <c r="W522" s="16" t="s">
        <v>17</v>
      </c>
      <c r="X522" s="16" t="s">
        <v>7395</v>
      </c>
      <c r="Y522" s="16" t="s">
        <v>17</v>
      </c>
      <c r="Z522" s="16" t="s">
        <v>6926</v>
      </c>
    </row>
    <row r="523" spans="1:26" x14ac:dyDescent="0.3">
      <c r="A523" s="16">
        <v>522</v>
      </c>
      <c r="B523" s="16" t="s">
        <v>965</v>
      </c>
      <c r="C523" s="17">
        <v>9780070718654</v>
      </c>
      <c r="D523" s="17">
        <v>9780070718654</v>
      </c>
      <c r="E523" s="16" t="s">
        <v>7185</v>
      </c>
      <c r="F523" s="16" t="s">
        <v>17</v>
      </c>
      <c r="G523" s="16" t="s">
        <v>17</v>
      </c>
      <c r="H523" s="16" t="s">
        <v>17</v>
      </c>
      <c r="I523" s="16" t="s">
        <v>17</v>
      </c>
      <c r="J523" s="16" t="s">
        <v>17</v>
      </c>
      <c r="K523" s="16" t="s">
        <v>967</v>
      </c>
      <c r="L523" s="16" t="s">
        <v>966</v>
      </c>
      <c r="M523" s="16" t="s">
        <v>965</v>
      </c>
      <c r="N523" s="16" t="s">
        <v>17</v>
      </c>
      <c r="O523" s="16" t="s">
        <v>6921</v>
      </c>
      <c r="P523" s="16" t="s">
        <v>17</v>
      </c>
      <c r="Q523" s="16" t="s">
        <v>6922</v>
      </c>
      <c r="R523" s="16" t="s">
        <v>6923</v>
      </c>
      <c r="S523" s="16" t="s">
        <v>17</v>
      </c>
      <c r="T523" s="16" t="s">
        <v>7185</v>
      </c>
      <c r="U523" s="16" t="s">
        <v>17</v>
      </c>
      <c r="V523" s="16" t="s">
        <v>7049</v>
      </c>
      <c r="W523" s="16" t="s">
        <v>17</v>
      </c>
      <c r="X523" s="16" t="s">
        <v>965</v>
      </c>
      <c r="Y523" s="16" t="s">
        <v>17</v>
      </c>
      <c r="Z523" s="16" t="s">
        <v>6926</v>
      </c>
    </row>
    <row r="524" spans="1:26" x14ac:dyDescent="0.3">
      <c r="A524" s="16">
        <v>523</v>
      </c>
      <c r="B524" s="16" t="s">
        <v>7265</v>
      </c>
      <c r="C524" s="17">
        <v>9780070696396</v>
      </c>
      <c r="D524" s="17">
        <v>9780070696396</v>
      </c>
      <c r="E524" s="16" t="s">
        <v>6920</v>
      </c>
      <c r="F524" s="16" t="s">
        <v>17</v>
      </c>
      <c r="G524" s="16" t="s">
        <v>17</v>
      </c>
      <c r="H524" s="16" t="s">
        <v>17</v>
      </c>
      <c r="I524" s="16" t="s">
        <v>17</v>
      </c>
      <c r="J524" s="16" t="s">
        <v>17</v>
      </c>
      <c r="K524" s="16" t="s">
        <v>295</v>
      </c>
      <c r="L524" s="16" t="s">
        <v>17</v>
      </c>
      <c r="M524" s="16" t="s">
        <v>7265</v>
      </c>
      <c r="N524" s="16" t="s">
        <v>17</v>
      </c>
      <c r="O524" s="16" t="s">
        <v>6921</v>
      </c>
      <c r="P524" s="16" t="s">
        <v>17</v>
      </c>
      <c r="Q524" s="16" t="s">
        <v>6922</v>
      </c>
      <c r="R524" s="16" t="s">
        <v>6923</v>
      </c>
      <c r="S524" s="16" t="s">
        <v>17</v>
      </c>
      <c r="T524" s="16" t="s">
        <v>6920</v>
      </c>
      <c r="U524" s="16" t="s">
        <v>17</v>
      </c>
      <c r="V524" s="16" t="s">
        <v>6929</v>
      </c>
      <c r="W524" s="16" t="s">
        <v>7266</v>
      </c>
      <c r="X524" s="16" t="s">
        <v>7265</v>
      </c>
      <c r="Y524" s="16" t="s">
        <v>17</v>
      </c>
      <c r="Z524" s="16" t="s">
        <v>6926</v>
      </c>
    </row>
    <row r="525" spans="1:26" x14ac:dyDescent="0.3">
      <c r="A525" s="16">
        <v>524</v>
      </c>
      <c r="B525" s="16" t="s">
        <v>1064</v>
      </c>
      <c r="C525" s="17">
        <v>9780071839778</v>
      </c>
      <c r="D525" s="17">
        <v>9780071839778</v>
      </c>
      <c r="E525" s="16" t="s">
        <v>7307</v>
      </c>
      <c r="F525" s="16" t="s">
        <v>17</v>
      </c>
      <c r="G525" s="16" t="s">
        <v>17</v>
      </c>
      <c r="H525" s="16" t="s">
        <v>17</v>
      </c>
      <c r="I525" s="16" t="s">
        <v>17</v>
      </c>
      <c r="J525" s="16" t="s">
        <v>17</v>
      </c>
      <c r="K525" s="16" t="s">
        <v>329</v>
      </c>
      <c r="L525" s="16" t="s">
        <v>17</v>
      </c>
      <c r="M525" s="16" t="s">
        <v>1064</v>
      </c>
      <c r="N525" s="16" t="s">
        <v>17</v>
      </c>
      <c r="O525" s="16" t="s">
        <v>6921</v>
      </c>
      <c r="P525" s="16" t="s">
        <v>17</v>
      </c>
      <c r="Q525" s="16" t="s">
        <v>6922</v>
      </c>
      <c r="R525" s="16" t="s">
        <v>6923</v>
      </c>
      <c r="S525" s="16" t="s">
        <v>17</v>
      </c>
      <c r="T525" s="16" t="s">
        <v>7307</v>
      </c>
      <c r="U525" s="16" t="s">
        <v>17</v>
      </c>
      <c r="V525" s="16" t="s">
        <v>6924</v>
      </c>
      <c r="W525" s="16" t="s">
        <v>328</v>
      </c>
      <c r="X525" s="16" t="s">
        <v>1064</v>
      </c>
      <c r="Y525" s="16" t="s">
        <v>17</v>
      </c>
      <c r="Z525" s="16" t="s">
        <v>6926</v>
      </c>
    </row>
    <row r="526" spans="1:26" x14ac:dyDescent="0.3">
      <c r="A526" s="16">
        <v>525</v>
      </c>
      <c r="B526" s="16" t="s">
        <v>1064</v>
      </c>
      <c r="C526" s="17">
        <v>9780071398251</v>
      </c>
      <c r="D526" s="17">
        <v>9780071398251</v>
      </c>
      <c r="E526" s="16" t="s">
        <v>6920</v>
      </c>
      <c r="F526" s="16" t="s">
        <v>17</v>
      </c>
      <c r="G526" s="16" t="s">
        <v>17</v>
      </c>
      <c r="H526" s="16" t="s">
        <v>17</v>
      </c>
      <c r="I526" s="16" t="s">
        <v>17</v>
      </c>
      <c r="J526" s="16" t="s">
        <v>17</v>
      </c>
      <c r="K526" s="16" t="s">
        <v>1066</v>
      </c>
      <c r="L526" s="16" t="s">
        <v>1065</v>
      </c>
      <c r="M526" s="16" t="s">
        <v>1064</v>
      </c>
      <c r="N526" s="16" t="s">
        <v>17</v>
      </c>
      <c r="O526" s="16" t="s">
        <v>6921</v>
      </c>
      <c r="P526" s="16" t="s">
        <v>17</v>
      </c>
      <c r="Q526" s="16" t="s">
        <v>6922</v>
      </c>
      <c r="R526" s="16" t="s">
        <v>6923</v>
      </c>
      <c r="S526" s="16" t="s">
        <v>17</v>
      </c>
      <c r="T526" s="16" t="s">
        <v>6920</v>
      </c>
      <c r="U526" s="16" t="s">
        <v>17</v>
      </c>
      <c r="V526" s="16" t="s">
        <v>7049</v>
      </c>
      <c r="W526" s="16" t="s">
        <v>17</v>
      </c>
      <c r="X526" s="16" t="s">
        <v>1064</v>
      </c>
      <c r="Y526" s="16" t="s">
        <v>17</v>
      </c>
      <c r="Z526" s="16" t="s">
        <v>6926</v>
      </c>
    </row>
    <row r="527" spans="1:26" x14ac:dyDescent="0.3">
      <c r="A527" s="16">
        <v>526</v>
      </c>
      <c r="B527" s="16" t="s">
        <v>7205</v>
      </c>
      <c r="C527" s="17">
        <v>9780071623834</v>
      </c>
      <c r="D527" s="17">
        <v>9780071623834</v>
      </c>
      <c r="E527" s="16" t="s">
        <v>6920</v>
      </c>
      <c r="F527" s="16" t="s">
        <v>17</v>
      </c>
      <c r="G527" s="16" t="s">
        <v>17</v>
      </c>
      <c r="H527" s="16" t="s">
        <v>17</v>
      </c>
      <c r="I527" s="16" t="s">
        <v>17</v>
      </c>
      <c r="J527" s="16" t="s">
        <v>17</v>
      </c>
      <c r="K527" s="16" t="s">
        <v>246</v>
      </c>
      <c r="L527" s="16" t="s">
        <v>245</v>
      </c>
      <c r="M527" s="16" t="s">
        <v>7205</v>
      </c>
      <c r="N527" s="16" t="s">
        <v>17</v>
      </c>
      <c r="O527" s="16" t="s">
        <v>6921</v>
      </c>
      <c r="P527" s="16" t="s">
        <v>17</v>
      </c>
      <c r="Q527" s="16" t="s">
        <v>6922</v>
      </c>
      <c r="R527" s="16" t="s">
        <v>6923</v>
      </c>
      <c r="S527" s="16" t="s">
        <v>17</v>
      </c>
      <c r="T527" s="16" t="s">
        <v>6920</v>
      </c>
      <c r="U527" s="16" t="s">
        <v>17</v>
      </c>
      <c r="V527" s="16" t="s">
        <v>6929</v>
      </c>
      <c r="W527" s="16" t="s">
        <v>17</v>
      </c>
      <c r="X527" s="16" t="s">
        <v>7205</v>
      </c>
      <c r="Y527" s="16" t="s">
        <v>17</v>
      </c>
      <c r="Z527" s="16" t="s">
        <v>6926</v>
      </c>
    </row>
    <row r="528" spans="1:26" x14ac:dyDescent="0.3">
      <c r="A528" s="16">
        <v>527</v>
      </c>
      <c r="B528" s="16" t="s">
        <v>1106</v>
      </c>
      <c r="C528" s="17">
        <v>9780071750318</v>
      </c>
      <c r="D528" s="17">
        <v>9780071750318</v>
      </c>
      <c r="E528" s="16" t="s">
        <v>8037</v>
      </c>
      <c r="F528" s="16" t="s">
        <v>17</v>
      </c>
      <c r="G528" s="16" t="s">
        <v>17</v>
      </c>
      <c r="H528" s="16" t="s">
        <v>17</v>
      </c>
      <c r="I528" s="16" t="s">
        <v>17</v>
      </c>
      <c r="J528" s="16" t="s">
        <v>17</v>
      </c>
      <c r="K528" s="16" t="s">
        <v>1108</v>
      </c>
      <c r="L528" s="16" t="s">
        <v>1107</v>
      </c>
      <c r="M528" s="16" t="s">
        <v>1106</v>
      </c>
      <c r="N528" s="16" t="s">
        <v>17</v>
      </c>
      <c r="O528" s="16" t="s">
        <v>6921</v>
      </c>
      <c r="P528" s="16" t="s">
        <v>17</v>
      </c>
      <c r="Q528" s="16" t="s">
        <v>6922</v>
      </c>
      <c r="R528" s="16" t="s">
        <v>6923</v>
      </c>
      <c r="S528" s="16" t="s">
        <v>17</v>
      </c>
      <c r="T528" s="16" t="s">
        <v>8037</v>
      </c>
      <c r="U528" s="16" t="s">
        <v>17</v>
      </c>
      <c r="V528" s="16" t="s">
        <v>8038</v>
      </c>
      <c r="W528" s="16" t="s">
        <v>17</v>
      </c>
      <c r="X528" s="16" t="s">
        <v>1106</v>
      </c>
      <c r="Y528" s="16" t="s">
        <v>17</v>
      </c>
      <c r="Z528" s="16" t="s">
        <v>6926</v>
      </c>
    </row>
    <row r="529" spans="1:26" x14ac:dyDescent="0.3">
      <c r="A529" s="16">
        <v>528</v>
      </c>
      <c r="B529" s="16" t="s">
        <v>8186</v>
      </c>
      <c r="C529" s="17">
        <v>9781260108385</v>
      </c>
      <c r="D529" s="17">
        <v>9781260108385</v>
      </c>
      <c r="E529" s="16" t="s">
        <v>8187</v>
      </c>
      <c r="F529" s="16" t="s">
        <v>17</v>
      </c>
      <c r="G529" s="16" t="s">
        <v>17</v>
      </c>
      <c r="H529" s="16" t="s">
        <v>17</v>
      </c>
      <c r="I529" s="16" t="s">
        <v>17</v>
      </c>
      <c r="J529" s="16" t="s">
        <v>17</v>
      </c>
      <c r="K529" s="16" t="s">
        <v>1268</v>
      </c>
      <c r="L529" s="16" t="s">
        <v>8188</v>
      </c>
      <c r="M529" s="16" t="s">
        <v>8186</v>
      </c>
      <c r="N529" s="16" t="s">
        <v>17</v>
      </c>
      <c r="O529" s="16" t="s">
        <v>6921</v>
      </c>
      <c r="P529" s="16" t="s">
        <v>17</v>
      </c>
      <c r="Q529" s="16" t="s">
        <v>6922</v>
      </c>
      <c r="R529" s="16" t="s">
        <v>6923</v>
      </c>
      <c r="S529" s="16" t="s">
        <v>17</v>
      </c>
      <c r="T529" s="16" t="s">
        <v>8187</v>
      </c>
      <c r="U529" s="16" t="s">
        <v>17</v>
      </c>
      <c r="V529" s="16" t="s">
        <v>6924</v>
      </c>
      <c r="W529" s="16" t="s">
        <v>17</v>
      </c>
      <c r="X529" s="16" t="s">
        <v>8186</v>
      </c>
      <c r="Y529" s="16" t="s">
        <v>17</v>
      </c>
      <c r="Z529" s="16" t="s">
        <v>6926</v>
      </c>
    </row>
    <row r="530" spans="1:26" x14ac:dyDescent="0.3">
      <c r="A530" s="16">
        <v>529</v>
      </c>
      <c r="B530" s="16" t="s">
        <v>8186</v>
      </c>
      <c r="C530" s="17">
        <v>9781265138516</v>
      </c>
      <c r="D530" s="17">
        <v>9781265138516</v>
      </c>
      <c r="E530" s="16" t="s">
        <v>8402</v>
      </c>
      <c r="F530" s="16" t="s">
        <v>17</v>
      </c>
      <c r="G530" s="16" t="s">
        <v>17</v>
      </c>
      <c r="H530" s="16" t="s">
        <v>17</v>
      </c>
      <c r="I530" s="16" t="s">
        <v>17</v>
      </c>
      <c r="J530" s="16" t="s">
        <v>17</v>
      </c>
      <c r="K530" s="16" t="s">
        <v>1598</v>
      </c>
      <c r="L530" s="16" t="s">
        <v>8188</v>
      </c>
      <c r="M530" s="16" t="s">
        <v>8186</v>
      </c>
      <c r="N530" s="16" t="s">
        <v>17</v>
      </c>
      <c r="O530" s="16" t="s">
        <v>6921</v>
      </c>
      <c r="P530" s="16" t="s">
        <v>17</v>
      </c>
      <c r="Q530" s="16" t="s">
        <v>6922</v>
      </c>
      <c r="R530" s="16" t="s">
        <v>6923</v>
      </c>
      <c r="S530" s="16" t="s">
        <v>17</v>
      </c>
      <c r="T530" s="16" t="s">
        <v>8402</v>
      </c>
      <c r="U530" s="16" t="s">
        <v>17</v>
      </c>
      <c r="V530" s="16" t="s">
        <v>6949</v>
      </c>
      <c r="W530" s="16" t="s">
        <v>17</v>
      </c>
      <c r="X530" s="16" t="s">
        <v>8186</v>
      </c>
      <c r="Y530" s="16" t="s">
        <v>17</v>
      </c>
      <c r="Z530" s="16" t="s">
        <v>6926</v>
      </c>
    </row>
    <row r="531" spans="1:26" x14ac:dyDescent="0.3">
      <c r="A531" s="16">
        <v>530</v>
      </c>
      <c r="B531" s="16" t="s">
        <v>7907</v>
      </c>
      <c r="C531" s="17">
        <v>9780071546898</v>
      </c>
      <c r="D531" s="17">
        <v>9780071546898</v>
      </c>
      <c r="E531" s="16" t="s">
        <v>6920</v>
      </c>
      <c r="F531" s="16" t="s">
        <v>17</v>
      </c>
      <c r="G531" s="16" t="s">
        <v>17</v>
      </c>
      <c r="H531" s="16" t="s">
        <v>17</v>
      </c>
      <c r="I531" s="16" t="s">
        <v>17</v>
      </c>
      <c r="J531" s="16" t="s">
        <v>17</v>
      </c>
      <c r="K531" s="16" t="s">
        <v>910</v>
      </c>
      <c r="L531" s="16" t="s">
        <v>187</v>
      </c>
      <c r="M531" s="16" t="s">
        <v>7907</v>
      </c>
      <c r="N531" s="16" t="s">
        <v>17</v>
      </c>
      <c r="O531" s="16" t="s">
        <v>6921</v>
      </c>
      <c r="P531" s="16" t="s">
        <v>17</v>
      </c>
      <c r="Q531" s="16" t="s">
        <v>6922</v>
      </c>
      <c r="R531" s="16" t="s">
        <v>6923</v>
      </c>
      <c r="S531" s="16" t="s">
        <v>17</v>
      </c>
      <c r="T531" s="16" t="s">
        <v>6920</v>
      </c>
      <c r="U531" s="16" t="s">
        <v>17</v>
      </c>
      <c r="V531" s="16" t="s">
        <v>6929</v>
      </c>
      <c r="W531" s="16" t="s">
        <v>17</v>
      </c>
      <c r="X531" s="16" t="s">
        <v>7907</v>
      </c>
      <c r="Y531" s="16" t="s">
        <v>17</v>
      </c>
      <c r="Z531" s="16" t="s">
        <v>6926</v>
      </c>
    </row>
    <row r="532" spans="1:26" x14ac:dyDescent="0.3">
      <c r="A532" s="16">
        <v>531</v>
      </c>
      <c r="B532" s="16" t="s">
        <v>7978</v>
      </c>
      <c r="C532" s="17">
        <v>9781259588501</v>
      </c>
      <c r="D532" s="17">
        <v>9781259588501</v>
      </c>
      <c r="E532" s="16" t="s">
        <v>7397</v>
      </c>
      <c r="F532" s="16" t="s">
        <v>17</v>
      </c>
      <c r="G532" s="16" t="s">
        <v>17</v>
      </c>
      <c r="H532" s="16" t="s">
        <v>17</v>
      </c>
      <c r="I532" s="16" t="s">
        <v>17</v>
      </c>
      <c r="J532" s="16" t="s">
        <v>17</v>
      </c>
      <c r="K532" s="16" t="s">
        <v>1012</v>
      </c>
      <c r="L532" s="16" t="s">
        <v>17</v>
      </c>
      <c r="M532" s="16" t="s">
        <v>7978</v>
      </c>
      <c r="N532" s="16" t="s">
        <v>17</v>
      </c>
      <c r="O532" s="16" t="s">
        <v>6921</v>
      </c>
      <c r="P532" s="16" t="s">
        <v>17</v>
      </c>
      <c r="Q532" s="16" t="s">
        <v>6922</v>
      </c>
      <c r="R532" s="16" t="s">
        <v>6923</v>
      </c>
      <c r="S532" s="16" t="s">
        <v>17</v>
      </c>
      <c r="T532" s="16" t="s">
        <v>7397</v>
      </c>
      <c r="U532" s="16" t="s">
        <v>17</v>
      </c>
      <c r="V532" s="16" t="s">
        <v>7600</v>
      </c>
      <c r="W532" s="16" t="s">
        <v>7979</v>
      </c>
      <c r="X532" s="16" t="s">
        <v>7978</v>
      </c>
      <c r="Y532" s="16" t="s">
        <v>17</v>
      </c>
      <c r="Z532" s="16" t="s">
        <v>6926</v>
      </c>
    </row>
    <row r="533" spans="1:26" x14ac:dyDescent="0.3">
      <c r="A533" s="16">
        <v>532</v>
      </c>
      <c r="B533" s="16" t="s">
        <v>1694</v>
      </c>
      <c r="C533" s="17">
        <v>9780071428675</v>
      </c>
      <c r="D533" s="17">
        <v>9780071428675</v>
      </c>
      <c r="E533" s="16" t="s">
        <v>6920</v>
      </c>
      <c r="F533" s="16" t="s">
        <v>17</v>
      </c>
      <c r="G533" s="16" t="s">
        <v>17</v>
      </c>
      <c r="H533" s="16" t="s">
        <v>17</v>
      </c>
      <c r="I533" s="16" t="s">
        <v>17</v>
      </c>
      <c r="J533" s="16" t="s">
        <v>17</v>
      </c>
      <c r="K533" s="16" t="s">
        <v>448</v>
      </c>
      <c r="L533" s="16" t="s">
        <v>447</v>
      </c>
      <c r="M533" s="16" t="s">
        <v>1694</v>
      </c>
      <c r="N533" s="16" t="s">
        <v>17</v>
      </c>
      <c r="O533" s="16" t="s">
        <v>6921</v>
      </c>
      <c r="P533" s="16" t="s">
        <v>17</v>
      </c>
      <c r="Q533" s="16" t="s">
        <v>6922</v>
      </c>
      <c r="R533" s="16" t="s">
        <v>6923</v>
      </c>
      <c r="S533" s="16" t="s">
        <v>17</v>
      </c>
      <c r="T533" s="16" t="s">
        <v>6920</v>
      </c>
      <c r="U533" s="16" t="s">
        <v>17</v>
      </c>
      <c r="V533" s="16" t="s">
        <v>7439</v>
      </c>
      <c r="W533" s="16" t="s">
        <v>17</v>
      </c>
      <c r="X533" s="16" t="s">
        <v>1694</v>
      </c>
      <c r="Y533" s="16" t="s">
        <v>17</v>
      </c>
      <c r="Z533" s="16" t="s">
        <v>6926</v>
      </c>
    </row>
    <row r="534" spans="1:26" x14ac:dyDescent="0.3">
      <c r="A534" s="16">
        <v>533</v>
      </c>
      <c r="B534" s="16" t="s">
        <v>7488</v>
      </c>
      <c r="C534" s="17">
        <v>9780070067066</v>
      </c>
      <c r="D534" s="17">
        <v>9780070067066</v>
      </c>
      <c r="E534" s="16" t="s">
        <v>6920</v>
      </c>
      <c r="F534" s="16" t="s">
        <v>17</v>
      </c>
      <c r="G534" s="16" t="s">
        <v>17</v>
      </c>
      <c r="H534" s="16" t="s">
        <v>17</v>
      </c>
      <c r="I534" s="16" t="s">
        <v>17</v>
      </c>
      <c r="J534" s="16" t="s">
        <v>17</v>
      </c>
      <c r="K534" s="16" t="s">
        <v>499</v>
      </c>
      <c r="L534" s="16" t="s">
        <v>498</v>
      </c>
      <c r="M534" s="16" t="s">
        <v>7488</v>
      </c>
      <c r="N534" s="16" t="s">
        <v>17</v>
      </c>
      <c r="O534" s="16" t="s">
        <v>6921</v>
      </c>
      <c r="P534" s="16" t="s">
        <v>17</v>
      </c>
      <c r="Q534" s="16" t="s">
        <v>6922</v>
      </c>
      <c r="R534" s="16" t="s">
        <v>6923</v>
      </c>
      <c r="S534" s="16" t="s">
        <v>17</v>
      </c>
      <c r="T534" s="16" t="s">
        <v>6920</v>
      </c>
      <c r="U534" s="16" t="s">
        <v>17</v>
      </c>
      <c r="V534" s="16" t="s">
        <v>6929</v>
      </c>
      <c r="W534" s="16" t="s">
        <v>17</v>
      </c>
      <c r="X534" s="16" t="s">
        <v>7488</v>
      </c>
      <c r="Y534" s="16" t="s">
        <v>17</v>
      </c>
      <c r="Z534" s="16" t="s">
        <v>6926</v>
      </c>
    </row>
    <row r="535" spans="1:26" x14ac:dyDescent="0.3">
      <c r="A535" s="16">
        <v>534</v>
      </c>
      <c r="B535" s="16" t="s">
        <v>8198</v>
      </c>
      <c r="C535" s="17">
        <v>9780071766395</v>
      </c>
      <c r="D535" s="17">
        <v>9780071766395</v>
      </c>
      <c r="E535" s="16" t="s">
        <v>7700</v>
      </c>
      <c r="F535" s="16" t="s">
        <v>17</v>
      </c>
      <c r="G535" s="16" t="s">
        <v>17</v>
      </c>
      <c r="H535" s="16" t="s">
        <v>17</v>
      </c>
      <c r="I535" s="16" t="s">
        <v>17</v>
      </c>
      <c r="J535" s="16" t="s">
        <v>17</v>
      </c>
      <c r="K535" s="16" t="s">
        <v>1278</v>
      </c>
      <c r="L535" s="16" t="s">
        <v>1277</v>
      </c>
      <c r="M535" s="16" t="s">
        <v>8198</v>
      </c>
      <c r="N535" s="16" t="s">
        <v>17</v>
      </c>
      <c r="O535" s="16" t="s">
        <v>6921</v>
      </c>
      <c r="P535" s="16" t="s">
        <v>17</v>
      </c>
      <c r="Q535" s="16" t="s">
        <v>6922</v>
      </c>
      <c r="R535" s="16" t="s">
        <v>6923</v>
      </c>
      <c r="S535" s="16" t="s">
        <v>17</v>
      </c>
      <c r="T535" s="16" t="s">
        <v>7700</v>
      </c>
      <c r="U535" s="16" t="s">
        <v>17</v>
      </c>
      <c r="V535" s="16" t="s">
        <v>7072</v>
      </c>
      <c r="W535" s="16" t="s">
        <v>17</v>
      </c>
      <c r="X535" s="16" t="s">
        <v>8198</v>
      </c>
      <c r="Y535" s="16" t="s">
        <v>17</v>
      </c>
      <c r="Z535" s="16" t="s">
        <v>6926</v>
      </c>
    </row>
    <row r="536" spans="1:26" x14ac:dyDescent="0.3">
      <c r="A536" s="16">
        <v>535</v>
      </c>
      <c r="B536" s="16" t="s">
        <v>1038</v>
      </c>
      <c r="C536" s="17">
        <v>9781259641756</v>
      </c>
      <c r="D536" s="17">
        <v>9781259641756</v>
      </c>
      <c r="E536" s="16" t="s">
        <v>7863</v>
      </c>
      <c r="F536" s="16" t="s">
        <v>17</v>
      </c>
      <c r="G536" s="16" t="s">
        <v>17</v>
      </c>
      <c r="H536" s="16" t="s">
        <v>17</v>
      </c>
      <c r="I536" s="16" t="s">
        <v>17</v>
      </c>
      <c r="J536" s="16" t="s">
        <v>17</v>
      </c>
      <c r="K536" s="16" t="s">
        <v>858</v>
      </c>
      <c r="L536" s="16" t="s">
        <v>7864</v>
      </c>
      <c r="M536" s="16" t="s">
        <v>1038</v>
      </c>
      <c r="N536" s="16" t="s">
        <v>17</v>
      </c>
      <c r="O536" s="16" t="s">
        <v>6921</v>
      </c>
      <c r="P536" s="16" t="s">
        <v>17</v>
      </c>
      <c r="Q536" s="16" t="s">
        <v>6922</v>
      </c>
      <c r="R536" s="16" t="s">
        <v>6923</v>
      </c>
      <c r="S536" s="16" t="s">
        <v>17</v>
      </c>
      <c r="T536" s="16" t="s">
        <v>7863</v>
      </c>
      <c r="U536" s="16" t="s">
        <v>17</v>
      </c>
      <c r="V536" s="16" t="s">
        <v>6924</v>
      </c>
      <c r="W536" s="16" t="s">
        <v>17</v>
      </c>
      <c r="X536" s="16" t="s">
        <v>1038</v>
      </c>
      <c r="Y536" s="16" t="s">
        <v>17</v>
      </c>
      <c r="Z536" s="16" t="s">
        <v>6926</v>
      </c>
    </row>
    <row r="537" spans="1:26" x14ac:dyDescent="0.3">
      <c r="A537" s="16">
        <v>536</v>
      </c>
      <c r="B537" s="16" t="s">
        <v>1038</v>
      </c>
      <c r="C537" s="17">
        <v>9780071638302</v>
      </c>
      <c r="D537" s="17">
        <v>9780071638302</v>
      </c>
      <c r="E537" s="16" t="s">
        <v>6920</v>
      </c>
      <c r="F537" s="16" t="s">
        <v>17</v>
      </c>
      <c r="G537" s="16" t="s">
        <v>17</v>
      </c>
      <c r="H537" s="16" t="s">
        <v>17</v>
      </c>
      <c r="I537" s="16" t="s">
        <v>17</v>
      </c>
      <c r="J537" s="16" t="s">
        <v>17</v>
      </c>
      <c r="K537" s="16" t="s">
        <v>1040</v>
      </c>
      <c r="L537" s="16" t="s">
        <v>1039</v>
      </c>
      <c r="M537" s="16" t="s">
        <v>1038</v>
      </c>
      <c r="N537" s="16" t="s">
        <v>17</v>
      </c>
      <c r="O537" s="16" t="s">
        <v>6921</v>
      </c>
      <c r="P537" s="16" t="s">
        <v>17</v>
      </c>
      <c r="Q537" s="16" t="s">
        <v>6922</v>
      </c>
      <c r="R537" s="16" t="s">
        <v>6923</v>
      </c>
      <c r="S537" s="16" t="s">
        <v>17</v>
      </c>
      <c r="T537" s="16" t="s">
        <v>6920</v>
      </c>
      <c r="U537" s="16" t="s">
        <v>17</v>
      </c>
      <c r="V537" s="16" t="s">
        <v>7049</v>
      </c>
      <c r="W537" s="16" t="s">
        <v>17</v>
      </c>
      <c r="X537" s="16" t="s">
        <v>1038</v>
      </c>
      <c r="Y537" s="16" t="s">
        <v>17</v>
      </c>
      <c r="Z537" s="16" t="s">
        <v>6926</v>
      </c>
    </row>
    <row r="538" spans="1:26" x14ac:dyDescent="0.3">
      <c r="A538" s="16">
        <v>537</v>
      </c>
      <c r="B538" s="16" t="s">
        <v>8460</v>
      </c>
      <c r="C538" s="17">
        <v>9781266171239</v>
      </c>
      <c r="D538" s="17">
        <v>9781266171239</v>
      </c>
      <c r="E538" s="16" t="s">
        <v>8461</v>
      </c>
      <c r="F538" s="16" t="s">
        <v>17</v>
      </c>
      <c r="G538" s="16" t="s">
        <v>17</v>
      </c>
      <c r="H538" s="16" t="s">
        <v>17</v>
      </c>
      <c r="I538" s="16" t="s">
        <v>17</v>
      </c>
      <c r="J538" s="16" t="s">
        <v>17</v>
      </c>
      <c r="K538" s="16" t="s">
        <v>1635</v>
      </c>
      <c r="L538" s="16" t="s">
        <v>8462</v>
      </c>
      <c r="M538" s="16" t="s">
        <v>8460</v>
      </c>
      <c r="N538" s="16" t="s">
        <v>17</v>
      </c>
      <c r="O538" s="16" t="s">
        <v>6921</v>
      </c>
      <c r="P538" s="16" t="s">
        <v>17</v>
      </c>
      <c r="Q538" s="16" t="s">
        <v>6922</v>
      </c>
      <c r="R538" s="16" t="s">
        <v>6923</v>
      </c>
      <c r="S538" s="16" t="s">
        <v>17</v>
      </c>
      <c r="T538" s="16" t="s">
        <v>8461</v>
      </c>
      <c r="U538" s="16" t="s">
        <v>17</v>
      </c>
      <c r="V538" s="16" t="s">
        <v>6949</v>
      </c>
      <c r="W538" s="16" t="s">
        <v>17</v>
      </c>
      <c r="X538" s="16" t="s">
        <v>8460</v>
      </c>
      <c r="Y538" s="16" t="s">
        <v>17</v>
      </c>
      <c r="Z538" s="16" t="s">
        <v>6926</v>
      </c>
    </row>
    <row r="539" spans="1:26" x14ac:dyDescent="0.3">
      <c r="A539" s="16">
        <v>538</v>
      </c>
      <c r="B539" s="16" t="s">
        <v>7559</v>
      </c>
      <c r="C539" s="17">
        <v>9781265164348</v>
      </c>
      <c r="D539" s="17">
        <v>9781265164348</v>
      </c>
      <c r="E539" s="16" t="s">
        <v>7560</v>
      </c>
      <c r="F539" s="16" t="s">
        <v>17</v>
      </c>
      <c r="G539" s="16" t="s">
        <v>17</v>
      </c>
      <c r="H539" s="16" t="s">
        <v>17</v>
      </c>
      <c r="I539" s="16" t="s">
        <v>17</v>
      </c>
      <c r="J539" s="16" t="s">
        <v>17</v>
      </c>
      <c r="K539" s="16" t="s">
        <v>550</v>
      </c>
      <c r="L539" s="16" t="s">
        <v>17</v>
      </c>
      <c r="M539" s="16" t="s">
        <v>7559</v>
      </c>
      <c r="N539" s="16" t="s">
        <v>17</v>
      </c>
      <c r="O539" s="16" t="s">
        <v>6921</v>
      </c>
      <c r="P539" s="16" t="s">
        <v>17</v>
      </c>
      <c r="Q539" s="16" t="s">
        <v>6922</v>
      </c>
      <c r="R539" s="16" t="s">
        <v>6923</v>
      </c>
      <c r="S539" s="16" t="s">
        <v>17</v>
      </c>
      <c r="T539" s="16" t="s">
        <v>7560</v>
      </c>
      <c r="U539" s="16" t="s">
        <v>17</v>
      </c>
      <c r="V539" s="16" t="s">
        <v>6929</v>
      </c>
      <c r="W539" s="16" t="s">
        <v>17</v>
      </c>
      <c r="X539" s="16" t="s">
        <v>7559</v>
      </c>
      <c r="Y539" s="16" t="s">
        <v>17</v>
      </c>
      <c r="Z539" s="16" t="s">
        <v>6926</v>
      </c>
    </row>
    <row r="540" spans="1:26" x14ac:dyDescent="0.3">
      <c r="A540" s="16">
        <v>539</v>
      </c>
      <c r="B540" s="16" t="s">
        <v>7450</v>
      </c>
      <c r="C540" s="17">
        <v>9781260473599</v>
      </c>
      <c r="D540" s="17">
        <v>9781260473599</v>
      </c>
      <c r="E540" s="16" t="s">
        <v>7451</v>
      </c>
      <c r="F540" s="16" t="s">
        <v>17</v>
      </c>
      <c r="G540" s="16" t="s">
        <v>17</v>
      </c>
      <c r="H540" s="16" t="s">
        <v>17</v>
      </c>
      <c r="I540" s="16" t="s">
        <v>17</v>
      </c>
      <c r="J540" s="16" t="s">
        <v>17</v>
      </c>
      <c r="K540" s="16" t="s">
        <v>462</v>
      </c>
      <c r="L540" s="16" t="s">
        <v>7452</v>
      </c>
      <c r="M540" s="16" t="s">
        <v>7450</v>
      </c>
      <c r="N540" s="16" t="s">
        <v>17</v>
      </c>
      <c r="O540" s="16" t="s">
        <v>6921</v>
      </c>
      <c r="P540" s="16" t="s">
        <v>17</v>
      </c>
      <c r="Q540" s="16" t="s">
        <v>6922</v>
      </c>
      <c r="R540" s="16" t="s">
        <v>6923</v>
      </c>
      <c r="S540" s="16" t="s">
        <v>17</v>
      </c>
      <c r="T540" s="16" t="s">
        <v>7451</v>
      </c>
      <c r="U540" s="16" t="s">
        <v>17</v>
      </c>
      <c r="V540" s="16" t="s">
        <v>7145</v>
      </c>
      <c r="W540" s="16" t="s">
        <v>17</v>
      </c>
      <c r="X540" s="16" t="s">
        <v>7450</v>
      </c>
      <c r="Y540" s="16" t="s">
        <v>17</v>
      </c>
      <c r="Z540" s="16" t="s">
        <v>6926</v>
      </c>
    </row>
    <row r="541" spans="1:26" x14ac:dyDescent="0.3">
      <c r="A541" s="16">
        <v>540</v>
      </c>
      <c r="B541" s="16" t="s">
        <v>7450</v>
      </c>
      <c r="C541" s="17">
        <v>9780071841047</v>
      </c>
      <c r="D541" s="17">
        <v>9780071841047</v>
      </c>
      <c r="E541" s="16" t="s">
        <v>7478</v>
      </c>
      <c r="F541" s="16" t="s">
        <v>17</v>
      </c>
      <c r="G541" s="16" t="s">
        <v>17</v>
      </c>
      <c r="H541" s="16" t="s">
        <v>17</v>
      </c>
      <c r="I541" s="16" t="s">
        <v>17</v>
      </c>
      <c r="J541" s="16" t="s">
        <v>17</v>
      </c>
      <c r="K541" s="16" t="s">
        <v>915</v>
      </c>
      <c r="L541" s="16" t="s">
        <v>7452</v>
      </c>
      <c r="M541" s="16" t="s">
        <v>7450</v>
      </c>
      <c r="N541" s="16" t="s">
        <v>17</v>
      </c>
      <c r="O541" s="16" t="s">
        <v>6921</v>
      </c>
      <c r="P541" s="16" t="s">
        <v>17</v>
      </c>
      <c r="Q541" s="16" t="s">
        <v>6922</v>
      </c>
      <c r="R541" s="16" t="s">
        <v>6923</v>
      </c>
      <c r="S541" s="16" t="s">
        <v>17</v>
      </c>
      <c r="T541" s="16" t="s">
        <v>7478</v>
      </c>
      <c r="U541" s="16" t="s">
        <v>17</v>
      </c>
      <c r="V541" s="16" t="s">
        <v>7072</v>
      </c>
      <c r="W541" s="16" t="s">
        <v>17</v>
      </c>
      <c r="X541" s="16" t="s">
        <v>7450</v>
      </c>
      <c r="Y541" s="16" t="s">
        <v>17</v>
      </c>
      <c r="Z541" s="16" t="s">
        <v>6926</v>
      </c>
    </row>
    <row r="542" spans="1:26" x14ac:dyDescent="0.3">
      <c r="A542" s="16">
        <v>541</v>
      </c>
      <c r="B542" s="16" t="s">
        <v>8026</v>
      </c>
      <c r="C542" s="17">
        <v>9780071360975</v>
      </c>
      <c r="D542" s="17">
        <v>9780071360975</v>
      </c>
      <c r="E542" s="16" t="s">
        <v>6920</v>
      </c>
      <c r="F542" s="16" t="s">
        <v>17</v>
      </c>
      <c r="G542" s="16" t="s">
        <v>17</v>
      </c>
      <c r="H542" s="16" t="s">
        <v>17</v>
      </c>
      <c r="I542" s="16" t="s">
        <v>17</v>
      </c>
      <c r="J542" s="16" t="s">
        <v>17</v>
      </c>
      <c r="K542" s="16" t="s">
        <v>1088</v>
      </c>
      <c r="L542" s="16" t="s">
        <v>461</v>
      </c>
      <c r="M542" s="16" t="s">
        <v>8026</v>
      </c>
      <c r="N542" s="16" t="s">
        <v>17</v>
      </c>
      <c r="O542" s="16" t="s">
        <v>6921</v>
      </c>
      <c r="P542" s="16" t="s">
        <v>17</v>
      </c>
      <c r="Q542" s="16" t="s">
        <v>6922</v>
      </c>
      <c r="R542" s="16" t="s">
        <v>6923</v>
      </c>
      <c r="S542" s="16" t="s">
        <v>17</v>
      </c>
      <c r="T542" s="16" t="s">
        <v>6920</v>
      </c>
      <c r="U542" s="16" t="s">
        <v>17</v>
      </c>
      <c r="V542" s="16" t="s">
        <v>7431</v>
      </c>
      <c r="W542" s="16" t="s">
        <v>17</v>
      </c>
      <c r="X542" s="16" t="s">
        <v>8026</v>
      </c>
      <c r="Y542" s="16" t="s">
        <v>17</v>
      </c>
      <c r="Z542" s="16" t="s">
        <v>6926</v>
      </c>
    </row>
    <row r="543" spans="1:26" x14ac:dyDescent="0.3">
      <c r="A543" s="16">
        <v>542</v>
      </c>
      <c r="B543" s="16" t="s">
        <v>8287</v>
      </c>
      <c r="C543" s="17">
        <v>9781260122312</v>
      </c>
      <c r="D543" s="17">
        <v>9781260122312</v>
      </c>
      <c r="E543" s="16" t="s">
        <v>8175</v>
      </c>
      <c r="F543" s="16" t="s">
        <v>17</v>
      </c>
      <c r="G543" s="16" t="s">
        <v>17</v>
      </c>
      <c r="H543" s="16" t="s">
        <v>17</v>
      </c>
      <c r="I543" s="16" t="s">
        <v>17</v>
      </c>
      <c r="J543" s="16" t="s">
        <v>17</v>
      </c>
      <c r="K543" s="16" t="s">
        <v>1351</v>
      </c>
      <c r="L543" s="16" t="s">
        <v>8288</v>
      </c>
      <c r="M543" s="16" t="s">
        <v>8287</v>
      </c>
      <c r="N543" s="16" t="s">
        <v>17</v>
      </c>
      <c r="O543" s="16" t="s">
        <v>6921</v>
      </c>
      <c r="P543" s="16" t="s">
        <v>17</v>
      </c>
      <c r="Q543" s="16" t="s">
        <v>6922</v>
      </c>
      <c r="R543" s="16" t="s">
        <v>6923</v>
      </c>
      <c r="S543" s="16" t="s">
        <v>17</v>
      </c>
      <c r="T543" s="16" t="s">
        <v>8175</v>
      </c>
      <c r="U543" s="16" t="s">
        <v>17</v>
      </c>
      <c r="V543" s="16" t="s">
        <v>6929</v>
      </c>
      <c r="W543" s="16" t="s">
        <v>17</v>
      </c>
      <c r="X543" s="16" t="s">
        <v>8287</v>
      </c>
      <c r="Y543" s="16" t="s">
        <v>17</v>
      </c>
      <c r="Z543" s="16" t="s">
        <v>6926</v>
      </c>
    </row>
    <row r="544" spans="1:26" x14ac:dyDescent="0.3">
      <c r="A544" s="16">
        <v>543</v>
      </c>
      <c r="B544" s="16" t="s">
        <v>8118</v>
      </c>
      <c r="C544" s="17">
        <v>9781259862618</v>
      </c>
      <c r="D544" s="17">
        <v>9781259862618</v>
      </c>
      <c r="E544" s="16" t="s">
        <v>7853</v>
      </c>
      <c r="F544" s="16" t="s">
        <v>17</v>
      </c>
      <c r="G544" s="16" t="s">
        <v>17</v>
      </c>
      <c r="H544" s="16" t="s">
        <v>17</v>
      </c>
      <c r="I544" s="16" t="s">
        <v>17</v>
      </c>
      <c r="J544" s="16" t="s">
        <v>17</v>
      </c>
      <c r="K544" s="16" t="s">
        <v>1207</v>
      </c>
      <c r="L544" s="16" t="s">
        <v>8119</v>
      </c>
      <c r="M544" s="16" t="s">
        <v>8118</v>
      </c>
      <c r="N544" s="16" t="s">
        <v>17</v>
      </c>
      <c r="O544" s="16" t="s">
        <v>6921</v>
      </c>
      <c r="P544" s="16" t="s">
        <v>17</v>
      </c>
      <c r="Q544" s="16" t="s">
        <v>6922</v>
      </c>
      <c r="R544" s="16" t="s">
        <v>6923</v>
      </c>
      <c r="S544" s="16" t="s">
        <v>17</v>
      </c>
      <c r="T544" s="16" t="s">
        <v>7853</v>
      </c>
      <c r="U544" s="16" t="s">
        <v>17</v>
      </c>
      <c r="V544" s="16" t="s">
        <v>6929</v>
      </c>
      <c r="W544" s="16" t="s">
        <v>17</v>
      </c>
      <c r="X544" s="16" t="s">
        <v>8118</v>
      </c>
      <c r="Y544" s="16" t="s">
        <v>17</v>
      </c>
      <c r="Z544" s="16" t="s">
        <v>6926</v>
      </c>
    </row>
    <row r="545" spans="1:26" x14ac:dyDescent="0.3">
      <c r="A545" s="16">
        <v>544</v>
      </c>
      <c r="B545" s="16" t="s">
        <v>7096</v>
      </c>
      <c r="C545" s="17">
        <v>9780071360760</v>
      </c>
      <c r="D545" s="17">
        <v>9780071360760</v>
      </c>
      <c r="E545" s="16" t="s">
        <v>6920</v>
      </c>
      <c r="F545" s="16" t="s">
        <v>17</v>
      </c>
      <c r="G545" s="16" t="s">
        <v>17</v>
      </c>
      <c r="H545" s="16" t="s">
        <v>17</v>
      </c>
      <c r="I545" s="16" t="s">
        <v>17</v>
      </c>
      <c r="J545" s="16" t="s">
        <v>17</v>
      </c>
      <c r="K545" s="16" t="s">
        <v>160</v>
      </c>
      <c r="L545" s="16" t="s">
        <v>7097</v>
      </c>
      <c r="M545" s="16" t="s">
        <v>7096</v>
      </c>
      <c r="N545" s="16" t="s">
        <v>17</v>
      </c>
      <c r="O545" s="16" t="s">
        <v>6921</v>
      </c>
      <c r="P545" s="16" t="s">
        <v>17</v>
      </c>
      <c r="Q545" s="16" t="s">
        <v>6922</v>
      </c>
      <c r="R545" s="16" t="s">
        <v>6923</v>
      </c>
      <c r="S545" s="16" t="s">
        <v>17</v>
      </c>
      <c r="T545" s="16" t="s">
        <v>6920</v>
      </c>
      <c r="U545" s="16" t="s">
        <v>17</v>
      </c>
      <c r="V545" s="16" t="s">
        <v>7098</v>
      </c>
      <c r="W545" s="16" t="s">
        <v>17</v>
      </c>
      <c r="X545" s="16" t="s">
        <v>7096</v>
      </c>
      <c r="Y545" s="16" t="s">
        <v>17</v>
      </c>
      <c r="Z545" s="16" t="s">
        <v>6926</v>
      </c>
    </row>
    <row r="546" spans="1:26" x14ac:dyDescent="0.3">
      <c r="A546" s="16">
        <v>545</v>
      </c>
      <c r="B546" s="16" t="s">
        <v>6970</v>
      </c>
      <c r="C546" s="17">
        <v>9780071831284</v>
      </c>
      <c r="D546" s="17">
        <v>9780071831284</v>
      </c>
      <c r="E546" s="16" t="s">
        <v>6971</v>
      </c>
      <c r="F546" s="16" t="s">
        <v>17</v>
      </c>
      <c r="G546" s="16" t="s">
        <v>17</v>
      </c>
      <c r="H546" s="16" t="s">
        <v>17</v>
      </c>
      <c r="I546" s="16" t="s">
        <v>17</v>
      </c>
      <c r="J546" s="16" t="s">
        <v>17</v>
      </c>
      <c r="K546" s="16" t="s">
        <v>49</v>
      </c>
      <c r="L546" s="16" t="s">
        <v>6972</v>
      </c>
      <c r="M546" s="16" t="s">
        <v>6970</v>
      </c>
      <c r="N546" s="16" t="s">
        <v>17</v>
      </c>
      <c r="O546" s="16" t="s">
        <v>6921</v>
      </c>
      <c r="P546" s="16" t="s">
        <v>17</v>
      </c>
      <c r="Q546" s="16" t="s">
        <v>6922</v>
      </c>
      <c r="R546" s="16" t="s">
        <v>6923</v>
      </c>
      <c r="S546" s="16" t="s">
        <v>17</v>
      </c>
      <c r="T546" s="16" t="s">
        <v>6971</v>
      </c>
      <c r="U546" s="16" t="s">
        <v>17</v>
      </c>
      <c r="V546" s="16" t="s">
        <v>6929</v>
      </c>
      <c r="W546" s="16" t="s">
        <v>17</v>
      </c>
      <c r="X546" s="16" t="s">
        <v>6970</v>
      </c>
      <c r="Y546" s="16" t="s">
        <v>17</v>
      </c>
      <c r="Z546" s="16" t="s">
        <v>6926</v>
      </c>
    </row>
    <row r="547" spans="1:26" x14ac:dyDescent="0.3">
      <c r="A547" s="16">
        <v>546</v>
      </c>
      <c r="B547" s="16" t="s">
        <v>8043</v>
      </c>
      <c r="C547" s="17">
        <v>9780070411029</v>
      </c>
      <c r="D547" s="17">
        <v>9780070411029</v>
      </c>
      <c r="E547" s="16" t="s">
        <v>6920</v>
      </c>
      <c r="F547" s="16" t="s">
        <v>17</v>
      </c>
      <c r="G547" s="16" t="s">
        <v>17</v>
      </c>
      <c r="H547" s="16" t="s">
        <v>17</v>
      </c>
      <c r="I547" s="16" t="s">
        <v>17</v>
      </c>
      <c r="J547" s="16" t="s">
        <v>17</v>
      </c>
      <c r="K547" s="16" t="s">
        <v>1120</v>
      </c>
      <c r="L547" s="16" t="s">
        <v>17</v>
      </c>
      <c r="M547" s="16" t="s">
        <v>8043</v>
      </c>
      <c r="N547" s="16" t="s">
        <v>17</v>
      </c>
      <c r="O547" s="16" t="s">
        <v>6921</v>
      </c>
      <c r="P547" s="16" t="s">
        <v>17</v>
      </c>
      <c r="Q547" s="16" t="s">
        <v>6922</v>
      </c>
      <c r="R547" s="16" t="s">
        <v>6923</v>
      </c>
      <c r="S547" s="16" t="s">
        <v>17</v>
      </c>
      <c r="T547" s="16" t="s">
        <v>6920</v>
      </c>
      <c r="U547" s="16" t="s">
        <v>17</v>
      </c>
      <c r="V547" s="16" t="s">
        <v>6944</v>
      </c>
      <c r="W547" s="16" t="s">
        <v>8044</v>
      </c>
      <c r="X547" s="16" t="s">
        <v>8043</v>
      </c>
      <c r="Y547" s="16" t="s">
        <v>17</v>
      </c>
      <c r="Z547" s="16" t="s">
        <v>6926</v>
      </c>
    </row>
    <row r="548" spans="1:26" x14ac:dyDescent="0.3">
      <c r="A548" s="16">
        <v>547</v>
      </c>
      <c r="B548" s="16" t="s">
        <v>7706</v>
      </c>
      <c r="C548" s="17">
        <v>9781260461565</v>
      </c>
      <c r="D548" s="17">
        <v>9781260461565</v>
      </c>
      <c r="E548" s="16" t="s">
        <v>7707</v>
      </c>
      <c r="F548" s="16" t="s">
        <v>17</v>
      </c>
      <c r="G548" s="16" t="s">
        <v>17</v>
      </c>
      <c r="H548" s="16" t="s">
        <v>17</v>
      </c>
      <c r="I548" s="16" t="s">
        <v>17</v>
      </c>
      <c r="J548" s="16" t="s">
        <v>17</v>
      </c>
      <c r="K548" s="16" t="s">
        <v>693</v>
      </c>
      <c r="L548" s="16" t="s">
        <v>17</v>
      </c>
      <c r="M548" s="16" t="s">
        <v>7706</v>
      </c>
      <c r="N548" s="16" t="s">
        <v>17</v>
      </c>
      <c r="O548" s="16" t="s">
        <v>6921</v>
      </c>
      <c r="P548" s="16" t="s">
        <v>17</v>
      </c>
      <c r="Q548" s="16" t="s">
        <v>6922</v>
      </c>
      <c r="R548" s="16" t="s">
        <v>6923</v>
      </c>
      <c r="S548" s="16" t="s">
        <v>17</v>
      </c>
      <c r="T548" s="16" t="s">
        <v>7707</v>
      </c>
      <c r="U548" s="16" t="s">
        <v>17</v>
      </c>
      <c r="V548" s="16" t="s">
        <v>7072</v>
      </c>
      <c r="W548" s="16" t="s">
        <v>7708</v>
      </c>
      <c r="X548" s="16" t="s">
        <v>7706</v>
      </c>
      <c r="Y548" s="16" t="s">
        <v>17</v>
      </c>
      <c r="Z548" s="16" t="s">
        <v>6926</v>
      </c>
    </row>
    <row r="549" spans="1:26" x14ac:dyDescent="0.3">
      <c r="A549" s="16">
        <v>548</v>
      </c>
      <c r="B549" s="16" t="s">
        <v>5372</v>
      </c>
      <c r="C549" s="17">
        <v>9876543211111</v>
      </c>
      <c r="D549" s="17">
        <v>9876543211111</v>
      </c>
      <c r="E549" s="16" t="s">
        <v>7662</v>
      </c>
      <c r="F549" s="16" t="s">
        <v>17</v>
      </c>
      <c r="G549" s="16" t="s">
        <v>17</v>
      </c>
      <c r="H549" s="16" t="s">
        <v>17</v>
      </c>
      <c r="I549" s="16" t="s">
        <v>17</v>
      </c>
      <c r="J549" s="16" t="s">
        <v>17</v>
      </c>
      <c r="K549" s="16" t="s">
        <v>653</v>
      </c>
      <c r="L549" s="16" t="s">
        <v>652</v>
      </c>
      <c r="M549" s="16" t="s">
        <v>5372</v>
      </c>
      <c r="N549" s="16" t="s">
        <v>17</v>
      </c>
      <c r="O549" s="16" t="s">
        <v>6921</v>
      </c>
      <c r="P549" s="16" t="s">
        <v>17</v>
      </c>
      <c r="Q549" s="16" t="s">
        <v>6922</v>
      </c>
      <c r="R549" s="16" t="s">
        <v>6923</v>
      </c>
      <c r="S549" s="16" t="s">
        <v>17</v>
      </c>
      <c r="T549" s="16" t="s">
        <v>7662</v>
      </c>
      <c r="U549" s="16" t="s">
        <v>17</v>
      </c>
      <c r="V549" s="16" t="s">
        <v>6929</v>
      </c>
      <c r="W549" s="16" t="s">
        <v>17</v>
      </c>
      <c r="X549" s="16" t="s">
        <v>5372</v>
      </c>
      <c r="Y549" s="16" t="s">
        <v>17</v>
      </c>
      <c r="Z549" s="16" t="s">
        <v>6926</v>
      </c>
    </row>
    <row r="550" spans="1:26" x14ac:dyDescent="0.3">
      <c r="A550" s="16">
        <v>549</v>
      </c>
      <c r="B550" s="16" t="s">
        <v>7494</v>
      </c>
      <c r="C550" s="17">
        <v>9781260474800</v>
      </c>
      <c r="D550" s="17">
        <v>9781260474800</v>
      </c>
      <c r="E550" s="16" t="s">
        <v>7495</v>
      </c>
      <c r="F550" s="16" t="s">
        <v>17</v>
      </c>
      <c r="G550" s="16" t="s">
        <v>17</v>
      </c>
      <c r="H550" s="16" t="s">
        <v>17</v>
      </c>
      <c r="I550" s="16" t="s">
        <v>17</v>
      </c>
      <c r="J550" s="16" t="s">
        <v>17</v>
      </c>
      <c r="K550" s="16" t="s">
        <v>505</v>
      </c>
      <c r="L550" s="16" t="s">
        <v>7273</v>
      </c>
      <c r="M550" s="16" t="s">
        <v>7494</v>
      </c>
      <c r="N550" s="16" t="s">
        <v>17</v>
      </c>
      <c r="O550" s="16" t="s">
        <v>6921</v>
      </c>
      <c r="P550" s="16" t="s">
        <v>17</v>
      </c>
      <c r="Q550" s="16" t="s">
        <v>6922</v>
      </c>
      <c r="R550" s="16" t="s">
        <v>6923</v>
      </c>
      <c r="S550" s="16" t="s">
        <v>17</v>
      </c>
      <c r="T550" s="16" t="s">
        <v>7495</v>
      </c>
      <c r="U550" s="16" t="s">
        <v>17</v>
      </c>
      <c r="V550" s="16" t="s">
        <v>7496</v>
      </c>
      <c r="W550" s="16" t="s">
        <v>17</v>
      </c>
      <c r="X550" s="16" t="s">
        <v>7494</v>
      </c>
      <c r="Y550" s="16" t="s">
        <v>17</v>
      </c>
      <c r="Z550" s="16" t="s">
        <v>6926</v>
      </c>
    </row>
    <row r="551" spans="1:26" x14ac:dyDescent="0.3">
      <c r="A551" s="16">
        <v>550</v>
      </c>
      <c r="B551" s="16" t="s">
        <v>8429</v>
      </c>
      <c r="C551" s="17">
        <v>9781265997755</v>
      </c>
      <c r="D551" s="17">
        <v>9781265997755</v>
      </c>
      <c r="E551" s="16" t="s">
        <v>8430</v>
      </c>
      <c r="F551" s="16" t="s">
        <v>17</v>
      </c>
      <c r="G551" s="16" t="s">
        <v>17</v>
      </c>
      <c r="H551" s="16" t="s">
        <v>17</v>
      </c>
      <c r="I551" s="16" t="s">
        <v>17</v>
      </c>
      <c r="J551" s="16" t="s">
        <v>17</v>
      </c>
      <c r="K551" s="16" t="s">
        <v>1615</v>
      </c>
      <c r="L551" s="16" t="s">
        <v>7273</v>
      </c>
      <c r="M551" s="16" t="s">
        <v>8429</v>
      </c>
      <c r="N551" s="16" t="s">
        <v>17</v>
      </c>
      <c r="O551" s="16" t="s">
        <v>6921</v>
      </c>
      <c r="P551" s="16" t="s">
        <v>17</v>
      </c>
      <c r="Q551" s="16" t="s">
        <v>6922</v>
      </c>
      <c r="R551" s="16" t="s">
        <v>6923</v>
      </c>
      <c r="S551" s="16" t="s">
        <v>17</v>
      </c>
      <c r="T551" s="16" t="s">
        <v>8430</v>
      </c>
      <c r="U551" s="16" t="s">
        <v>17</v>
      </c>
      <c r="V551" s="16" t="s">
        <v>8431</v>
      </c>
      <c r="W551" s="16" t="s">
        <v>17</v>
      </c>
      <c r="X551" s="16" t="s">
        <v>8429</v>
      </c>
      <c r="Y551" s="16" t="s">
        <v>17</v>
      </c>
      <c r="Z551" s="16" t="s">
        <v>6926</v>
      </c>
    </row>
    <row r="552" spans="1:26" x14ac:dyDescent="0.3">
      <c r="A552" s="16">
        <v>551</v>
      </c>
      <c r="B552" s="16" t="s">
        <v>7531</v>
      </c>
      <c r="C552" s="17">
        <v>9781264257188</v>
      </c>
      <c r="D552" s="17">
        <v>9781264257188</v>
      </c>
      <c r="E552" s="16" t="s">
        <v>7328</v>
      </c>
      <c r="F552" s="16" t="s">
        <v>17</v>
      </c>
      <c r="G552" s="16" t="s">
        <v>17</v>
      </c>
      <c r="H552" s="16" t="s">
        <v>17</v>
      </c>
      <c r="I552" s="16" t="s">
        <v>17</v>
      </c>
      <c r="J552" s="16" t="s">
        <v>17</v>
      </c>
      <c r="K552" s="16" t="s">
        <v>528</v>
      </c>
      <c r="L552" s="16" t="s">
        <v>7532</v>
      </c>
      <c r="M552" s="16" t="s">
        <v>7531</v>
      </c>
      <c r="N552" s="16" t="s">
        <v>17</v>
      </c>
      <c r="O552" s="16" t="s">
        <v>6921</v>
      </c>
      <c r="P552" s="16" t="s">
        <v>17</v>
      </c>
      <c r="Q552" s="16" t="s">
        <v>6922</v>
      </c>
      <c r="R552" s="16" t="s">
        <v>6923</v>
      </c>
      <c r="S552" s="16" t="s">
        <v>17</v>
      </c>
      <c r="T552" s="16" t="s">
        <v>7328</v>
      </c>
      <c r="U552" s="16" t="s">
        <v>17</v>
      </c>
      <c r="V552" s="16" t="s">
        <v>6929</v>
      </c>
      <c r="W552" s="16" t="s">
        <v>17</v>
      </c>
      <c r="X552" s="16" t="s">
        <v>7531</v>
      </c>
      <c r="Y552" s="16" t="s">
        <v>17</v>
      </c>
      <c r="Z552" s="16" t="s">
        <v>6926</v>
      </c>
    </row>
    <row r="553" spans="1:26" x14ac:dyDescent="0.3">
      <c r="A553" s="16">
        <v>552</v>
      </c>
      <c r="B553" s="16" t="s">
        <v>8410</v>
      </c>
      <c r="C553" s="17">
        <v>9780071749558</v>
      </c>
      <c r="D553" s="17">
        <v>9780071749558</v>
      </c>
      <c r="E553" s="16" t="s">
        <v>8411</v>
      </c>
      <c r="F553" s="16" t="s">
        <v>17</v>
      </c>
      <c r="G553" s="16" t="s">
        <v>17</v>
      </c>
      <c r="H553" s="16" t="s">
        <v>17</v>
      </c>
      <c r="I553" s="16" t="s">
        <v>17</v>
      </c>
      <c r="J553" s="16" t="s">
        <v>17</v>
      </c>
      <c r="K553" s="16" t="s">
        <v>1605</v>
      </c>
      <c r="L553" s="16" t="s">
        <v>8412</v>
      </c>
      <c r="M553" s="16" t="s">
        <v>8410</v>
      </c>
      <c r="N553" s="16" t="s">
        <v>17</v>
      </c>
      <c r="O553" s="16" t="s">
        <v>6921</v>
      </c>
      <c r="P553" s="16" t="s">
        <v>17</v>
      </c>
      <c r="Q553" s="16" t="s">
        <v>6922</v>
      </c>
      <c r="R553" s="16" t="s">
        <v>6923</v>
      </c>
      <c r="S553" s="16" t="s">
        <v>17</v>
      </c>
      <c r="T553" s="16" t="s">
        <v>8411</v>
      </c>
      <c r="U553" s="16" t="s">
        <v>17</v>
      </c>
      <c r="V553" s="16" t="s">
        <v>6924</v>
      </c>
      <c r="W553" s="16" t="s">
        <v>17</v>
      </c>
      <c r="X553" s="16" t="s">
        <v>8410</v>
      </c>
      <c r="Y553" s="16" t="s">
        <v>17</v>
      </c>
      <c r="Z553" s="16" t="s">
        <v>6926</v>
      </c>
    </row>
    <row r="554" spans="1:26" x14ac:dyDescent="0.3">
      <c r="A554" s="16">
        <v>553</v>
      </c>
      <c r="B554" s="16" t="s">
        <v>8258</v>
      </c>
      <c r="C554" s="17">
        <v>9780071743853</v>
      </c>
      <c r="D554" s="17">
        <v>9780071743853</v>
      </c>
      <c r="E554" s="16" t="s">
        <v>7105</v>
      </c>
      <c r="F554" s="16" t="s">
        <v>17</v>
      </c>
      <c r="G554" s="16" t="s">
        <v>17</v>
      </c>
      <c r="H554" s="16" t="s">
        <v>17</v>
      </c>
      <c r="I554" s="16" t="s">
        <v>17</v>
      </c>
      <c r="J554" s="16" t="s">
        <v>17</v>
      </c>
      <c r="K554" s="16" t="s">
        <v>1329</v>
      </c>
      <c r="L554" s="16" t="s">
        <v>1328</v>
      </c>
      <c r="M554" s="16" t="s">
        <v>8258</v>
      </c>
      <c r="N554" s="16" t="s">
        <v>17</v>
      </c>
      <c r="O554" s="16" t="s">
        <v>6921</v>
      </c>
      <c r="P554" s="16" t="s">
        <v>17</v>
      </c>
      <c r="Q554" s="16" t="s">
        <v>6922</v>
      </c>
      <c r="R554" s="16" t="s">
        <v>6923</v>
      </c>
      <c r="S554" s="16" t="s">
        <v>17</v>
      </c>
      <c r="T554" s="16" t="s">
        <v>7105</v>
      </c>
      <c r="U554" s="16" t="s">
        <v>17</v>
      </c>
      <c r="V554" s="16" t="s">
        <v>6929</v>
      </c>
      <c r="W554" s="16" t="s">
        <v>17</v>
      </c>
      <c r="X554" s="16" t="s">
        <v>8258</v>
      </c>
      <c r="Y554" s="16" t="s">
        <v>17</v>
      </c>
      <c r="Z554" s="16" t="s">
        <v>6926</v>
      </c>
    </row>
    <row r="555" spans="1:26" x14ac:dyDescent="0.3">
      <c r="A555" s="16">
        <v>554</v>
      </c>
      <c r="B555" s="16" t="s">
        <v>7764</v>
      </c>
      <c r="C555" s="17">
        <v>9780071743839</v>
      </c>
      <c r="D555" s="17">
        <v>9780071743839</v>
      </c>
      <c r="E555" s="16" t="s">
        <v>7105</v>
      </c>
      <c r="F555" s="16" t="s">
        <v>17</v>
      </c>
      <c r="G555" s="16" t="s">
        <v>17</v>
      </c>
      <c r="H555" s="16" t="s">
        <v>17</v>
      </c>
      <c r="I555" s="16" t="s">
        <v>17</v>
      </c>
      <c r="J555" s="16" t="s">
        <v>17</v>
      </c>
      <c r="K555" s="16" t="s">
        <v>744</v>
      </c>
      <c r="L555" s="16" t="s">
        <v>7765</v>
      </c>
      <c r="M555" s="16" t="s">
        <v>7764</v>
      </c>
      <c r="N555" s="16" t="s">
        <v>17</v>
      </c>
      <c r="O555" s="16" t="s">
        <v>6921</v>
      </c>
      <c r="P555" s="16" t="s">
        <v>17</v>
      </c>
      <c r="Q555" s="16" t="s">
        <v>6922</v>
      </c>
      <c r="R555" s="16" t="s">
        <v>6923</v>
      </c>
      <c r="S555" s="16" t="s">
        <v>17</v>
      </c>
      <c r="T555" s="16" t="s">
        <v>7105</v>
      </c>
      <c r="U555" s="16" t="s">
        <v>17</v>
      </c>
      <c r="V555" s="16" t="s">
        <v>6929</v>
      </c>
      <c r="W555" s="16" t="s">
        <v>17</v>
      </c>
      <c r="X555" s="16" t="s">
        <v>7764</v>
      </c>
      <c r="Y555" s="16" t="s">
        <v>17</v>
      </c>
      <c r="Z555" s="16" t="s">
        <v>6926</v>
      </c>
    </row>
    <row r="556" spans="1:26" x14ac:dyDescent="0.3">
      <c r="A556" s="16">
        <v>555</v>
      </c>
      <c r="B556" s="16" t="s">
        <v>7104</v>
      </c>
      <c r="C556" s="17">
        <v>9780071430081</v>
      </c>
      <c r="D556" s="17">
        <v>9780071430081</v>
      </c>
      <c r="E556" s="16" t="s">
        <v>7105</v>
      </c>
      <c r="F556" s="16" t="s">
        <v>17</v>
      </c>
      <c r="G556" s="16" t="s">
        <v>17</v>
      </c>
      <c r="H556" s="16" t="s">
        <v>17</v>
      </c>
      <c r="I556" s="16" t="s">
        <v>17</v>
      </c>
      <c r="J556" s="16" t="s">
        <v>17</v>
      </c>
      <c r="K556" s="16" t="s">
        <v>164</v>
      </c>
      <c r="L556" s="16" t="s">
        <v>163</v>
      </c>
      <c r="M556" s="16" t="s">
        <v>7104</v>
      </c>
      <c r="N556" s="16" t="s">
        <v>17</v>
      </c>
      <c r="O556" s="16" t="s">
        <v>6921</v>
      </c>
      <c r="P556" s="16" t="s">
        <v>17</v>
      </c>
      <c r="Q556" s="16" t="s">
        <v>6922</v>
      </c>
      <c r="R556" s="16" t="s">
        <v>6923</v>
      </c>
      <c r="S556" s="16" t="s">
        <v>17</v>
      </c>
      <c r="T556" s="16" t="s">
        <v>7105</v>
      </c>
      <c r="U556" s="16" t="s">
        <v>17</v>
      </c>
      <c r="V556" s="16" t="s">
        <v>6929</v>
      </c>
      <c r="W556" s="16" t="s">
        <v>17</v>
      </c>
      <c r="X556" s="16" t="s">
        <v>7104</v>
      </c>
      <c r="Y556" s="16" t="s">
        <v>17</v>
      </c>
      <c r="Z556" s="16" t="s">
        <v>6926</v>
      </c>
    </row>
    <row r="557" spans="1:26" x14ac:dyDescent="0.3">
      <c r="A557" s="16">
        <v>556</v>
      </c>
      <c r="B557" s="16" t="s">
        <v>7680</v>
      </c>
      <c r="C557" s="17">
        <v>9780071457873</v>
      </c>
      <c r="D557" s="17">
        <v>9780071457873</v>
      </c>
      <c r="E557" s="16" t="s">
        <v>6920</v>
      </c>
      <c r="F557" s="16" t="s">
        <v>17</v>
      </c>
      <c r="G557" s="16" t="s">
        <v>17</v>
      </c>
      <c r="H557" s="16" t="s">
        <v>17</v>
      </c>
      <c r="I557" s="16" t="s">
        <v>17</v>
      </c>
      <c r="J557" s="16" t="s">
        <v>17</v>
      </c>
      <c r="K557" s="16" t="s">
        <v>672</v>
      </c>
      <c r="L557" s="16" t="s">
        <v>7003</v>
      </c>
      <c r="M557" s="16" t="s">
        <v>7680</v>
      </c>
      <c r="N557" s="16" t="s">
        <v>17</v>
      </c>
      <c r="O557" s="16" t="s">
        <v>6921</v>
      </c>
      <c r="P557" s="16" t="s">
        <v>17</v>
      </c>
      <c r="Q557" s="16" t="s">
        <v>6922</v>
      </c>
      <c r="R557" s="16" t="s">
        <v>6923</v>
      </c>
      <c r="S557" s="16" t="s">
        <v>17</v>
      </c>
      <c r="T557" s="16" t="s">
        <v>6920</v>
      </c>
      <c r="U557" s="16" t="s">
        <v>17</v>
      </c>
      <c r="V557" s="16" t="s">
        <v>6949</v>
      </c>
      <c r="W557" s="16" t="s">
        <v>17</v>
      </c>
      <c r="X557" s="16" t="s">
        <v>7680</v>
      </c>
      <c r="Y557" s="16" t="s">
        <v>17</v>
      </c>
      <c r="Z557" s="16" t="s">
        <v>6926</v>
      </c>
    </row>
    <row r="558" spans="1:26" x14ac:dyDescent="0.3">
      <c r="A558" s="16">
        <v>557</v>
      </c>
      <c r="B558" s="16" t="s">
        <v>8110</v>
      </c>
      <c r="C558" s="17">
        <v>9781259641275</v>
      </c>
      <c r="D558" s="17">
        <v>9781259641275</v>
      </c>
      <c r="E558" s="16" t="s">
        <v>7383</v>
      </c>
      <c r="F558" s="16" t="s">
        <v>17</v>
      </c>
      <c r="G558" s="16" t="s">
        <v>17</v>
      </c>
      <c r="H558" s="16" t="s">
        <v>17</v>
      </c>
      <c r="I558" s="16" t="s">
        <v>17</v>
      </c>
      <c r="J558" s="16" t="s">
        <v>17</v>
      </c>
      <c r="K558" s="16" t="s">
        <v>1194</v>
      </c>
      <c r="L558" s="16" t="s">
        <v>7368</v>
      </c>
      <c r="M558" s="16" t="s">
        <v>8110</v>
      </c>
      <c r="N558" s="16" t="s">
        <v>17</v>
      </c>
      <c r="O558" s="16" t="s">
        <v>6921</v>
      </c>
      <c r="P558" s="16" t="s">
        <v>17</v>
      </c>
      <c r="Q558" s="16" t="s">
        <v>6922</v>
      </c>
      <c r="R558" s="16" t="s">
        <v>6923</v>
      </c>
      <c r="S558" s="16" t="s">
        <v>17</v>
      </c>
      <c r="T558" s="16" t="s">
        <v>7383</v>
      </c>
      <c r="U558" s="16" t="s">
        <v>17</v>
      </c>
      <c r="V558" s="16" t="s">
        <v>6929</v>
      </c>
      <c r="W558" s="16" t="s">
        <v>17</v>
      </c>
      <c r="X558" s="16" t="s">
        <v>8110</v>
      </c>
      <c r="Y558" s="16" t="s">
        <v>17</v>
      </c>
      <c r="Z558" s="16" t="s">
        <v>6926</v>
      </c>
    </row>
    <row r="559" spans="1:26" x14ac:dyDescent="0.3">
      <c r="A559" s="16">
        <v>558</v>
      </c>
      <c r="B559" s="16" t="s">
        <v>7454</v>
      </c>
      <c r="C559" s="17">
        <v>9780071745703</v>
      </c>
      <c r="D559" s="17">
        <v>9780071745703</v>
      </c>
      <c r="E559" s="16" t="s">
        <v>7455</v>
      </c>
      <c r="F559" s="16" t="s">
        <v>17</v>
      </c>
      <c r="G559" s="16" t="s">
        <v>17</v>
      </c>
      <c r="H559" s="16" t="s">
        <v>17</v>
      </c>
      <c r="I559" s="16" t="s">
        <v>17</v>
      </c>
      <c r="J559" s="16" t="s">
        <v>17</v>
      </c>
      <c r="K559" s="16" t="s">
        <v>465</v>
      </c>
      <c r="L559" s="16" t="s">
        <v>7456</v>
      </c>
      <c r="M559" s="16" t="s">
        <v>7454</v>
      </c>
      <c r="N559" s="16" t="s">
        <v>17</v>
      </c>
      <c r="O559" s="16" t="s">
        <v>6921</v>
      </c>
      <c r="P559" s="16" t="s">
        <v>17</v>
      </c>
      <c r="Q559" s="16" t="s">
        <v>6922</v>
      </c>
      <c r="R559" s="16" t="s">
        <v>6923</v>
      </c>
      <c r="S559" s="16" t="s">
        <v>17</v>
      </c>
      <c r="T559" s="16" t="s">
        <v>7455</v>
      </c>
      <c r="U559" s="16" t="s">
        <v>17</v>
      </c>
      <c r="V559" s="16" t="s">
        <v>7457</v>
      </c>
      <c r="W559" s="16" t="s">
        <v>17</v>
      </c>
      <c r="X559" s="16" t="s">
        <v>7454</v>
      </c>
      <c r="Y559" s="16" t="s">
        <v>17</v>
      </c>
      <c r="Z559" s="16" t="s">
        <v>6926</v>
      </c>
    </row>
    <row r="560" spans="1:26" x14ac:dyDescent="0.3">
      <c r="A560" s="16">
        <v>559</v>
      </c>
      <c r="B560" s="16" t="s">
        <v>8166</v>
      </c>
      <c r="C560" s="17">
        <v>9781259584428</v>
      </c>
      <c r="D560" s="17">
        <v>9781259584428</v>
      </c>
      <c r="E560" s="16" t="s">
        <v>7314</v>
      </c>
      <c r="F560" s="16" t="s">
        <v>17</v>
      </c>
      <c r="G560" s="16" t="s">
        <v>17</v>
      </c>
      <c r="H560" s="16" t="s">
        <v>17</v>
      </c>
      <c r="I560" s="16" t="s">
        <v>17</v>
      </c>
      <c r="J560" s="16" t="s">
        <v>17</v>
      </c>
      <c r="K560" s="16" t="s">
        <v>1251</v>
      </c>
      <c r="L560" s="16" t="s">
        <v>7273</v>
      </c>
      <c r="M560" s="16" t="s">
        <v>8166</v>
      </c>
      <c r="N560" s="16" t="s">
        <v>17</v>
      </c>
      <c r="O560" s="16" t="s">
        <v>6921</v>
      </c>
      <c r="P560" s="16" t="s">
        <v>17</v>
      </c>
      <c r="Q560" s="16" t="s">
        <v>6922</v>
      </c>
      <c r="R560" s="16" t="s">
        <v>6923</v>
      </c>
      <c r="S560" s="16" t="s">
        <v>17</v>
      </c>
      <c r="T560" s="16" t="s">
        <v>7314</v>
      </c>
      <c r="U560" s="16" t="s">
        <v>17</v>
      </c>
      <c r="V560" s="16" t="s">
        <v>8167</v>
      </c>
      <c r="W560" s="16" t="s">
        <v>17</v>
      </c>
      <c r="X560" s="16" t="s">
        <v>8166</v>
      </c>
      <c r="Y560" s="16" t="s">
        <v>17</v>
      </c>
      <c r="Z560" s="16" t="s">
        <v>6926</v>
      </c>
    </row>
    <row r="561" spans="1:26" x14ac:dyDescent="0.3">
      <c r="A561" s="16">
        <v>560</v>
      </c>
      <c r="B561" s="16" t="s">
        <v>7367</v>
      </c>
      <c r="C561" s="17">
        <v>9780071800655</v>
      </c>
      <c r="D561" s="17">
        <v>9780071800655</v>
      </c>
      <c r="E561" s="16" t="s">
        <v>7105</v>
      </c>
      <c r="F561" s="16" t="s">
        <v>17</v>
      </c>
      <c r="G561" s="16" t="s">
        <v>17</v>
      </c>
      <c r="H561" s="16" t="s">
        <v>17</v>
      </c>
      <c r="I561" s="16" t="s">
        <v>17</v>
      </c>
      <c r="J561" s="16" t="s">
        <v>17</v>
      </c>
      <c r="K561" s="16" t="s">
        <v>385</v>
      </c>
      <c r="L561" s="16" t="s">
        <v>7368</v>
      </c>
      <c r="M561" s="16" t="s">
        <v>7367</v>
      </c>
      <c r="N561" s="16" t="s">
        <v>17</v>
      </c>
      <c r="O561" s="16" t="s">
        <v>6921</v>
      </c>
      <c r="P561" s="16" t="s">
        <v>17</v>
      </c>
      <c r="Q561" s="16" t="s">
        <v>6922</v>
      </c>
      <c r="R561" s="16" t="s">
        <v>6923</v>
      </c>
      <c r="S561" s="16" t="s">
        <v>17</v>
      </c>
      <c r="T561" s="16" t="s">
        <v>7105</v>
      </c>
      <c r="U561" s="16" t="s">
        <v>17</v>
      </c>
      <c r="V561" s="16" t="s">
        <v>6929</v>
      </c>
      <c r="W561" s="16" t="s">
        <v>17</v>
      </c>
      <c r="X561" s="16" t="s">
        <v>7367</v>
      </c>
      <c r="Y561" s="16" t="s">
        <v>17</v>
      </c>
      <c r="Z561" s="16" t="s">
        <v>6926</v>
      </c>
    </row>
    <row r="562" spans="1:26" x14ac:dyDescent="0.3">
      <c r="A562" s="16">
        <v>561</v>
      </c>
      <c r="B562" s="16" t="s">
        <v>7272</v>
      </c>
      <c r="C562" s="17">
        <v>9780071834780</v>
      </c>
      <c r="D562" s="17">
        <v>9780071834780</v>
      </c>
      <c r="E562" s="16" t="s">
        <v>7026</v>
      </c>
      <c r="F562" s="16" t="s">
        <v>17</v>
      </c>
      <c r="G562" s="16" t="s">
        <v>17</v>
      </c>
      <c r="H562" s="16" t="s">
        <v>17</v>
      </c>
      <c r="I562" s="16" t="s">
        <v>17</v>
      </c>
      <c r="J562" s="16" t="s">
        <v>17</v>
      </c>
      <c r="K562" s="16" t="s">
        <v>302</v>
      </c>
      <c r="L562" s="16" t="s">
        <v>7273</v>
      </c>
      <c r="M562" s="16" t="s">
        <v>7272</v>
      </c>
      <c r="N562" s="16" t="s">
        <v>17</v>
      </c>
      <c r="O562" s="16" t="s">
        <v>6921</v>
      </c>
      <c r="P562" s="16" t="s">
        <v>17</v>
      </c>
      <c r="Q562" s="16" t="s">
        <v>6922</v>
      </c>
      <c r="R562" s="16" t="s">
        <v>6923</v>
      </c>
      <c r="S562" s="16" t="s">
        <v>17</v>
      </c>
      <c r="T562" s="16" t="s">
        <v>7026</v>
      </c>
      <c r="U562" s="16" t="s">
        <v>17</v>
      </c>
      <c r="V562" s="16" t="s">
        <v>7274</v>
      </c>
      <c r="W562" s="16" t="s">
        <v>17</v>
      </c>
      <c r="X562" s="16" t="s">
        <v>7272</v>
      </c>
      <c r="Y562" s="16" t="s">
        <v>17</v>
      </c>
      <c r="Z562" s="16" t="s">
        <v>6926</v>
      </c>
    </row>
    <row r="563" spans="1:26" x14ac:dyDescent="0.3">
      <c r="A563" s="16">
        <v>562</v>
      </c>
      <c r="B563" s="16" t="s">
        <v>8130</v>
      </c>
      <c r="C563" s="17">
        <v>9780071766852</v>
      </c>
      <c r="D563" s="17">
        <v>9780071766852</v>
      </c>
      <c r="E563" s="16" t="s">
        <v>7309</v>
      </c>
      <c r="F563" s="16" t="s">
        <v>17</v>
      </c>
      <c r="G563" s="16" t="s">
        <v>17</v>
      </c>
      <c r="H563" s="16" t="s">
        <v>17</v>
      </c>
      <c r="I563" s="16" t="s">
        <v>17</v>
      </c>
      <c r="J563" s="16" t="s">
        <v>17</v>
      </c>
      <c r="K563" s="16" t="s">
        <v>1221</v>
      </c>
      <c r="L563" s="16" t="s">
        <v>7532</v>
      </c>
      <c r="M563" s="16" t="s">
        <v>8130</v>
      </c>
      <c r="N563" s="16" t="s">
        <v>17</v>
      </c>
      <c r="O563" s="16" t="s">
        <v>6921</v>
      </c>
      <c r="P563" s="16" t="s">
        <v>17</v>
      </c>
      <c r="Q563" s="16" t="s">
        <v>6922</v>
      </c>
      <c r="R563" s="16" t="s">
        <v>6923</v>
      </c>
      <c r="S563" s="16" t="s">
        <v>17</v>
      </c>
      <c r="T563" s="16" t="s">
        <v>7309</v>
      </c>
      <c r="U563" s="16" t="s">
        <v>17</v>
      </c>
      <c r="V563" s="16" t="s">
        <v>6929</v>
      </c>
      <c r="W563" s="16" t="s">
        <v>17</v>
      </c>
      <c r="X563" s="16" t="s">
        <v>8130</v>
      </c>
      <c r="Y563" s="16" t="s">
        <v>17</v>
      </c>
      <c r="Z563" s="16" t="s">
        <v>6926</v>
      </c>
    </row>
    <row r="564" spans="1:26" x14ac:dyDescent="0.3">
      <c r="A564" s="16">
        <v>563</v>
      </c>
      <c r="B564" s="16" t="s">
        <v>7916</v>
      </c>
      <c r="C564" s="17">
        <v>9781259584152</v>
      </c>
      <c r="D564" s="17">
        <v>9781259584152</v>
      </c>
      <c r="E564" s="16" t="s">
        <v>7100</v>
      </c>
      <c r="F564" s="16" t="s">
        <v>17</v>
      </c>
      <c r="G564" s="16" t="s">
        <v>17</v>
      </c>
      <c r="H564" s="16" t="s">
        <v>17</v>
      </c>
      <c r="I564" s="16" t="s">
        <v>17</v>
      </c>
      <c r="J564" s="16" t="s">
        <v>17</v>
      </c>
      <c r="K564" s="16" t="s">
        <v>931</v>
      </c>
      <c r="L564" s="16" t="s">
        <v>7532</v>
      </c>
      <c r="M564" s="16" t="s">
        <v>7916</v>
      </c>
      <c r="N564" s="16" t="s">
        <v>17</v>
      </c>
      <c r="O564" s="16" t="s">
        <v>6921</v>
      </c>
      <c r="P564" s="16" t="s">
        <v>17</v>
      </c>
      <c r="Q564" s="16" t="s">
        <v>6922</v>
      </c>
      <c r="R564" s="16" t="s">
        <v>6923</v>
      </c>
      <c r="S564" s="16" t="s">
        <v>17</v>
      </c>
      <c r="T564" s="16" t="s">
        <v>7100</v>
      </c>
      <c r="U564" s="16" t="s">
        <v>17</v>
      </c>
      <c r="V564" s="16" t="s">
        <v>6929</v>
      </c>
      <c r="W564" s="16" t="s">
        <v>17</v>
      </c>
      <c r="X564" s="16" t="s">
        <v>7916</v>
      </c>
      <c r="Y564" s="16" t="s">
        <v>17</v>
      </c>
      <c r="Z564" s="16" t="s">
        <v>6926</v>
      </c>
    </row>
    <row r="565" spans="1:26" x14ac:dyDescent="0.3">
      <c r="A565" s="16">
        <v>564</v>
      </c>
      <c r="B565" s="16" t="s">
        <v>7547</v>
      </c>
      <c r="C565" s="17">
        <v>9780071466363</v>
      </c>
      <c r="D565" s="17">
        <v>9780071466363</v>
      </c>
      <c r="E565" s="16" t="s">
        <v>6920</v>
      </c>
      <c r="F565" s="16" t="s">
        <v>17</v>
      </c>
      <c r="G565" s="16" t="s">
        <v>17</v>
      </c>
      <c r="H565" s="16" t="s">
        <v>17</v>
      </c>
      <c r="I565" s="16" t="s">
        <v>17</v>
      </c>
      <c r="J565" s="16" t="s">
        <v>17</v>
      </c>
      <c r="K565" s="16" t="s">
        <v>541</v>
      </c>
      <c r="L565" s="16" t="s">
        <v>17</v>
      </c>
      <c r="M565" s="16" t="s">
        <v>7547</v>
      </c>
      <c r="N565" s="16" t="s">
        <v>17</v>
      </c>
      <c r="O565" s="16" t="s">
        <v>6921</v>
      </c>
      <c r="P565" s="16" t="s">
        <v>17</v>
      </c>
      <c r="Q565" s="16" t="s">
        <v>6922</v>
      </c>
      <c r="R565" s="16" t="s">
        <v>6923</v>
      </c>
      <c r="S565" s="16" t="s">
        <v>17</v>
      </c>
      <c r="T565" s="16" t="s">
        <v>6920</v>
      </c>
      <c r="U565" s="16" t="s">
        <v>17</v>
      </c>
      <c r="V565" s="16" t="s">
        <v>6924</v>
      </c>
      <c r="W565" s="16" t="s">
        <v>539</v>
      </c>
      <c r="X565" s="16" t="s">
        <v>7547</v>
      </c>
      <c r="Y565" s="16" t="s">
        <v>17</v>
      </c>
      <c r="Z565" s="16" t="s">
        <v>6926</v>
      </c>
    </row>
    <row r="566" spans="1:26" x14ac:dyDescent="0.3">
      <c r="A566" s="16">
        <v>565</v>
      </c>
      <c r="B566" s="16" t="s">
        <v>7322</v>
      </c>
      <c r="C566" s="17">
        <v>9780071455381</v>
      </c>
      <c r="D566" s="17">
        <v>9780071455381</v>
      </c>
      <c r="E566" s="16" t="s">
        <v>6920</v>
      </c>
      <c r="F566" s="16" t="s">
        <v>17</v>
      </c>
      <c r="G566" s="16" t="s">
        <v>17</v>
      </c>
      <c r="H566" s="16" t="s">
        <v>17</v>
      </c>
      <c r="I566" s="16" t="s">
        <v>17</v>
      </c>
      <c r="J566" s="16" t="s">
        <v>17</v>
      </c>
      <c r="K566" s="16" t="s">
        <v>347</v>
      </c>
      <c r="L566" s="16" t="s">
        <v>7323</v>
      </c>
      <c r="M566" s="16" t="s">
        <v>7322</v>
      </c>
      <c r="N566" s="16" t="s">
        <v>17</v>
      </c>
      <c r="O566" s="16" t="s">
        <v>6921</v>
      </c>
      <c r="P566" s="16" t="s">
        <v>17</v>
      </c>
      <c r="Q566" s="16" t="s">
        <v>6922</v>
      </c>
      <c r="R566" s="16" t="s">
        <v>6923</v>
      </c>
      <c r="S566" s="16" t="s">
        <v>17</v>
      </c>
      <c r="T566" s="16" t="s">
        <v>6920</v>
      </c>
      <c r="U566" s="16" t="s">
        <v>17</v>
      </c>
      <c r="V566" s="16" t="s">
        <v>6929</v>
      </c>
      <c r="W566" s="16" t="s">
        <v>17</v>
      </c>
      <c r="X566" s="16" t="s">
        <v>7322</v>
      </c>
      <c r="Y566" s="16" t="s">
        <v>17</v>
      </c>
      <c r="Z566" s="16" t="s">
        <v>6926</v>
      </c>
    </row>
    <row r="567" spans="1:26" x14ac:dyDescent="0.3">
      <c r="A567" s="16">
        <v>566</v>
      </c>
      <c r="B567" s="16" t="s">
        <v>7601</v>
      </c>
      <c r="C567" s="17">
        <v>9780071498548</v>
      </c>
      <c r="D567" s="17">
        <v>9780071498548</v>
      </c>
      <c r="E567" s="16" t="s">
        <v>6920</v>
      </c>
      <c r="F567" s="16" t="s">
        <v>17</v>
      </c>
      <c r="G567" s="16" t="s">
        <v>17</v>
      </c>
      <c r="H567" s="16" t="s">
        <v>17</v>
      </c>
      <c r="I567" s="16" t="s">
        <v>17</v>
      </c>
      <c r="J567" s="16" t="s">
        <v>17</v>
      </c>
      <c r="K567" s="16" t="s">
        <v>595</v>
      </c>
      <c r="L567" s="16" t="s">
        <v>594</v>
      </c>
      <c r="M567" s="16" t="s">
        <v>7601</v>
      </c>
      <c r="N567" s="16" t="s">
        <v>17</v>
      </c>
      <c r="O567" s="16" t="s">
        <v>6921</v>
      </c>
      <c r="P567" s="16" t="s">
        <v>17</v>
      </c>
      <c r="Q567" s="16" t="s">
        <v>6922</v>
      </c>
      <c r="R567" s="16" t="s">
        <v>6923</v>
      </c>
      <c r="S567" s="16" t="s">
        <v>17</v>
      </c>
      <c r="T567" s="16" t="s">
        <v>6920</v>
      </c>
      <c r="U567" s="16" t="s">
        <v>17</v>
      </c>
      <c r="V567" s="16" t="s">
        <v>6929</v>
      </c>
      <c r="W567" s="16" t="s">
        <v>17</v>
      </c>
      <c r="X567" s="16" t="s">
        <v>7601</v>
      </c>
      <c r="Y567" s="16" t="s">
        <v>17</v>
      </c>
      <c r="Z567" s="16" t="s">
        <v>6926</v>
      </c>
    </row>
    <row r="568" spans="1:26" x14ac:dyDescent="0.3">
      <c r="A568" s="16">
        <v>567</v>
      </c>
      <c r="B568" s="16" t="s">
        <v>7610</v>
      </c>
      <c r="C568" s="17">
        <v>9780071704427</v>
      </c>
      <c r="D568" s="17">
        <v>9780071704427</v>
      </c>
      <c r="E568" s="16" t="s">
        <v>7611</v>
      </c>
      <c r="F568" s="16" t="s">
        <v>17</v>
      </c>
      <c r="G568" s="16" t="s">
        <v>17</v>
      </c>
      <c r="H568" s="16" t="s">
        <v>17</v>
      </c>
      <c r="I568" s="16" t="s">
        <v>17</v>
      </c>
      <c r="J568" s="16" t="s">
        <v>17</v>
      </c>
      <c r="K568" s="16" t="s">
        <v>605</v>
      </c>
      <c r="L568" s="16" t="s">
        <v>253</v>
      </c>
      <c r="M568" s="16" t="s">
        <v>7610</v>
      </c>
      <c r="N568" s="16" t="s">
        <v>17</v>
      </c>
      <c r="O568" s="16" t="s">
        <v>6921</v>
      </c>
      <c r="P568" s="16" t="s">
        <v>17</v>
      </c>
      <c r="Q568" s="16" t="s">
        <v>6922</v>
      </c>
      <c r="R568" s="16" t="s">
        <v>6923</v>
      </c>
      <c r="S568" s="16" t="s">
        <v>17</v>
      </c>
      <c r="T568" s="16" t="s">
        <v>7611</v>
      </c>
      <c r="U568" s="16" t="s">
        <v>17</v>
      </c>
      <c r="V568" s="16" t="s">
        <v>6944</v>
      </c>
      <c r="W568" s="16" t="s">
        <v>17</v>
      </c>
      <c r="X568" s="16" t="s">
        <v>7610</v>
      </c>
      <c r="Y568" s="16" t="s">
        <v>17</v>
      </c>
      <c r="Z568" s="16" t="s">
        <v>6926</v>
      </c>
    </row>
    <row r="569" spans="1:26" x14ac:dyDescent="0.3">
      <c r="A569" s="16">
        <v>568</v>
      </c>
      <c r="B569" s="16" t="s">
        <v>7825</v>
      </c>
      <c r="C569" s="17">
        <v>9780071768962</v>
      </c>
      <c r="D569" s="17">
        <v>9780071768962</v>
      </c>
      <c r="E569" s="16" t="s">
        <v>7623</v>
      </c>
      <c r="F569" s="16" t="s">
        <v>17</v>
      </c>
      <c r="G569" s="16" t="s">
        <v>17</v>
      </c>
      <c r="H569" s="16" t="s">
        <v>17</v>
      </c>
      <c r="I569" s="16" t="s">
        <v>17</v>
      </c>
      <c r="J569" s="16" t="s">
        <v>17</v>
      </c>
      <c r="K569" s="16" t="s">
        <v>803</v>
      </c>
      <c r="L569" s="16" t="s">
        <v>802</v>
      </c>
      <c r="M569" s="16" t="s">
        <v>7825</v>
      </c>
      <c r="N569" s="16" t="s">
        <v>17</v>
      </c>
      <c r="O569" s="16" t="s">
        <v>6921</v>
      </c>
      <c r="P569" s="16" t="s">
        <v>17</v>
      </c>
      <c r="Q569" s="16" t="s">
        <v>6922</v>
      </c>
      <c r="R569" s="16" t="s">
        <v>6923</v>
      </c>
      <c r="S569" s="16" t="s">
        <v>17</v>
      </c>
      <c r="T569" s="16" t="s">
        <v>7623</v>
      </c>
      <c r="U569" s="16" t="s">
        <v>17</v>
      </c>
      <c r="V569" s="16" t="s">
        <v>6929</v>
      </c>
      <c r="W569" s="16" t="s">
        <v>17</v>
      </c>
      <c r="X569" s="16" t="s">
        <v>7825</v>
      </c>
      <c r="Y569" s="16" t="s">
        <v>17</v>
      </c>
      <c r="Z569" s="16" t="s">
        <v>6926</v>
      </c>
    </row>
    <row r="570" spans="1:26" x14ac:dyDescent="0.3">
      <c r="A570" s="16">
        <v>569</v>
      </c>
      <c r="B570" s="16" t="s">
        <v>7787</v>
      </c>
      <c r="C570" s="17">
        <v>9780071753661</v>
      </c>
      <c r="D570" s="17">
        <v>9780071753661</v>
      </c>
      <c r="E570" s="16" t="s">
        <v>7299</v>
      </c>
      <c r="F570" s="16" t="s">
        <v>17</v>
      </c>
      <c r="G570" s="16" t="s">
        <v>17</v>
      </c>
      <c r="H570" s="16" t="s">
        <v>17</v>
      </c>
      <c r="I570" s="16" t="s">
        <v>17</v>
      </c>
      <c r="J570" s="16" t="s">
        <v>17</v>
      </c>
      <c r="K570" s="16" t="s">
        <v>763</v>
      </c>
      <c r="L570" s="16" t="s">
        <v>17</v>
      </c>
      <c r="M570" s="16" t="s">
        <v>7787</v>
      </c>
      <c r="N570" s="16" t="s">
        <v>17</v>
      </c>
      <c r="O570" s="16" t="s">
        <v>6921</v>
      </c>
      <c r="P570" s="16" t="s">
        <v>17</v>
      </c>
      <c r="Q570" s="16" t="s">
        <v>6922</v>
      </c>
      <c r="R570" s="16" t="s">
        <v>6923</v>
      </c>
      <c r="S570" s="16" t="s">
        <v>17</v>
      </c>
      <c r="T570" s="16" t="s">
        <v>7299</v>
      </c>
      <c r="U570" s="16" t="s">
        <v>17</v>
      </c>
      <c r="V570" s="16" t="s">
        <v>6929</v>
      </c>
      <c r="W570" s="16" t="s">
        <v>17</v>
      </c>
      <c r="X570" s="16" t="s">
        <v>7787</v>
      </c>
      <c r="Y570" s="16" t="s">
        <v>17</v>
      </c>
      <c r="Z570" s="16" t="s">
        <v>6926</v>
      </c>
    </row>
    <row r="571" spans="1:26" x14ac:dyDescent="0.3">
      <c r="A571" s="16">
        <v>570</v>
      </c>
      <c r="B571" s="16" t="s">
        <v>8090</v>
      </c>
      <c r="C571" s="17">
        <v>9780071464192</v>
      </c>
      <c r="D571" s="17">
        <v>9780071464192</v>
      </c>
      <c r="E571" s="16" t="s">
        <v>6920</v>
      </c>
      <c r="F571" s="16" t="s">
        <v>17</v>
      </c>
      <c r="G571" s="16" t="s">
        <v>17</v>
      </c>
      <c r="H571" s="16" t="s">
        <v>17</v>
      </c>
      <c r="I571" s="16" t="s">
        <v>17</v>
      </c>
      <c r="J571" s="16" t="s">
        <v>17</v>
      </c>
      <c r="K571" s="16" t="s">
        <v>1177</v>
      </c>
      <c r="L571" s="16" t="s">
        <v>17</v>
      </c>
      <c r="M571" s="16" t="s">
        <v>8090</v>
      </c>
      <c r="N571" s="16" t="s">
        <v>17</v>
      </c>
      <c r="O571" s="16" t="s">
        <v>6921</v>
      </c>
      <c r="P571" s="16" t="s">
        <v>17</v>
      </c>
      <c r="Q571" s="16" t="s">
        <v>6922</v>
      </c>
      <c r="R571" s="16" t="s">
        <v>6923</v>
      </c>
      <c r="S571" s="16" t="s">
        <v>17</v>
      </c>
      <c r="T571" s="16" t="s">
        <v>6920</v>
      </c>
      <c r="U571" s="16" t="s">
        <v>17</v>
      </c>
      <c r="V571" s="16" t="s">
        <v>6929</v>
      </c>
      <c r="W571" s="16" t="s">
        <v>17</v>
      </c>
      <c r="X571" s="16" t="s">
        <v>8090</v>
      </c>
      <c r="Y571" s="16" t="s">
        <v>17</v>
      </c>
      <c r="Z571" s="16" t="s">
        <v>6926</v>
      </c>
    </row>
    <row r="572" spans="1:26" x14ac:dyDescent="0.3">
      <c r="A572" s="16">
        <v>571</v>
      </c>
      <c r="B572" s="16" t="s">
        <v>7106</v>
      </c>
      <c r="C572" s="17">
        <v>9780071828963</v>
      </c>
      <c r="D572" s="17">
        <v>9780071828963</v>
      </c>
      <c r="E572" s="16" t="s">
        <v>6991</v>
      </c>
      <c r="F572" s="16" t="s">
        <v>17</v>
      </c>
      <c r="G572" s="16" t="s">
        <v>17</v>
      </c>
      <c r="H572" s="16" t="s">
        <v>17</v>
      </c>
      <c r="I572" s="16" t="s">
        <v>17</v>
      </c>
      <c r="J572" s="16" t="s">
        <v>17</v>
      </c>
      <c r="K572" s="16" t="s">
        <v>166</v>
      </c>
      <c r="L572" s="16" t="s">
        <v>165</v>
      </c>
      <c r="M572" s="16" t="s">
        <v>7106</v>
      </c>
      <c r="N572" s="16" t="s">
        <v>17</v>
      </c>
      <c r="O572" s="16" t="s">
        <v>6921</v>
      </c>
      <c r="P572" s="16" t="s">
        <v>17</v>
      </c>
      <c r="Q572" s="16" t="s">
        <v>6922</v>
      </c>
      <c r="R572" s="16" t="s">
        <v>6923</v>
      </c>
      <c r="S572" s="16" t="s">
        <v>17</v>
      </c>
      <c r="T572" s="16" t="s">
        <v>6991</v>
      </c>
      <c r="U572" s="16" t="s">
        <v>17</v>
      </c>
      <c r="V572" s="16" t="s">
        <v>6949</v>
      </c>
      <c r="W572" s="16" t="s">
        <v>17</v>
      </c>
      <c r="X572" s="16" t="s">
        <v>7106</v>
      </c>
      <c r="Y572" s="16" t="s">
        <v>17</v>
      </c>
      <c r="Z572" s="16" t="s">
        <v>6926</v>
      </c>
    </row>
    <row r="573" spans="1:26" x14ac:dyDescent="0.3">
      <c r="A573" s="16">
        <v>572</v>
      </c>
      <c r="B573" s="16" t="s">
        <v>8075</v>
      </c>
      <c r="C573" s="17">
        <v>9780071402019</v>
      </c>
      <c r="D573" s="17">
        <v>9780071402019</v>
      </c>
      <c r="E573" s="16" t="s">
        <v>6920</v>
      </c>
      <c r="F573" s="16" t="s">
        <v>17</v>
      </c>
      <c r="G573" s="16" t="s">
        <v>17</v>
      </c>
      <c r="H573" s="16" t="s">
        <v>17</v>
      </c>
      <c r="I573" s="16" t="s">
        <v>17</v>
      </c>
      <c r="J573" s="16" t="s">
        <v>17</v>
      </c>
      <c r="K573" s="16" t="s">
        <v>1157</v>
      </c>
      <c r="L573" s="16" t="s">
        <v>1156</v>
      </c>
      <c r="M573" s="16" t="s">
        <v>8075</v>
      </c>
      <c r="N573" s="16" t="s">
        <v>17</v>
      </c>
      <c r="O573" s="16" t="s">
        <v>6921</v>
      </c>
      <c r="P573" s="16" t="s">
        <v>17</v>
      </c>
      <c r="Q573" s="16" t="s">
        <v>6922</v>
      </c>
      <c r="R573" s="16" t="s">
        <v>6923</v>
      </c>
      <c r="S573" s="16" t="s">
        <v>17</v>
      </c>
      <c r="T573" s="16" t="s">
        <v>6920</v>
      </c>
      <c r="U573" s="16" t="s">
        <v>17</v>
      </c>
      <c r="V573" s="16" t="s">
        <v>7480</v>
      </c>
      <c r="W573" s="16" t="s">
        <v>17</v>
      </c>
      <c r="X573" s="16" t="s">
        <v>8075</v>
      </c>
      <c r="Y573" s="16" t="s">
        <v>17</v>
      </c>
      <c r="Z573" s="16" t="s">
        <v>6926</v>
      </c>
    </row>
    <row r="574" spans="1:26" x14ac:dyDescent="0.3">
      <c r="A574" s="16">
        <v>573</v>
      </c>
      <c r="B574" s="16" t="s">
        <v>7147</v>
      </c>
      <c r="C574" s="17">
        <v>9781259007347</v>
      </c>
      <c r="D574" s="17">
        <v>9781259007347</v>
      </c>
      <c r="E574" s="16" t="s">
        <v>6987</v>
      </c>
      <c r="F574" s="16" t="s">
        <v>17</v>
      </c>
      <c r="G574" s="16" t="s">
        <v>17</v>
      </c>
      <c r="H574" s="16" t="s">
        <v>17</v>
      </c>
      <c r="I574" s="16" t="s">
        <v>17</v>
      </c>
      <c r="J574" s="16" t="s">
        <v>17</v>
      </c>
      <c r="K574" s="16" t="s">
        <v>199</v>
      </c>
      <c r="L574" s="16" t="s">
        <v>17</v>
      </c>
      <c r="M574" s="16" t="s">
        <v>7147</v>
      </c>
      <c r="N574" s="16" t="s">
        <v>17</v>
      </c>
      <c r="O574" s="16" t="s">
        <v>6921</v>
      </c>
      <c r="P574" s="16" t="s">
        <v>17</v>
      </c>
      <c r="Q574" s="16" t="s">
        <v>6922</v>
      </c>
      <c r="R574" s="16" t="s">
        <v>6923</v>
      </c>
      <c r="S574" s="16" t="s">
        <v>17</v>
      </c>
      <c r="T574" s="16" t="s">
        <v>6987</v>
      </c>
      <c r="U574" s="16" t="s">
        <v>17</v>
      </c>
      <c r="V574" s="16" t="s">
        <v>6929</v>
      </c>
      <c r="W574" s="16" t="s">
        <v>7148</v>
      </c>
      <c r="X574" s="16" t="s">
        <v>7147</v>
      </c>
      <c r="Y574" s="16" t="s">
        <v>17</v>
      </c>
      <c r="Z574" s="16" t="s">
        <v>6926</v>
      </c>
    </row>
    <row r="575" spans="1:26" x14ac:dyDescent="0.3">
      <c r="A575" s="16">
        <v>574</v>
      </c>
      <c r="B575" s="16" t="s">
        <v>7398</v>
      </c>
      <c r="C575" s="17">
        <v>9780071821018</v>
      </c>
      <c r="D575" s="17">
        <v>9780071821018</v>
      </c>
      <c r="E575" s="16" t="s">
        <v>7063</v>
      </c>
      <c r="F575" s="16" t="s">
        <v>17</v>
      </c>
      <c r="G575" s="16" t="s">
        <v>17</v>
      </c>
      <c r="H575" s="16" t="s">
        <v>17</v>
      </c>
      <c r="I575" s="16" t="s">
        <v>17</v>
      </c>
      <c r="J575" s="16" t="s">
        <v>17</v>
      </c>
      <c r="K575" s="16" t="s">
        <v>414</v>
      </c>
      <c r="L575" s="16" t="s">
        <v>7399</v>
      </c>
      <c r="M575" s="16" t="s">
        <v>7398</v>
      </c>
      <c r="N575" s="16" t="s">
        <v>17</v>
      </c>
      <c r="O575" s="16" t="s">
        <v>6921</v>
      </c>
      <c r="P575" s="16" t="s">
        <v>17</v>
      </c>
      <c r="Q575" s="16" t="s">
        <v>6922</v>
      </c>
      <c r="R575" s="16" t="s">
        <v>6923</v>
      </c>
      <c r="S575" s="16" t="s">
        <v>17</v>
      </c>
      <c r="T575" s="16" t="s">
        <v>7063</v>
      </c>
      <c r="U575" s="16" t="s">
        <v>17</v>
      </c>
      <c r="V575" s="16" t="s">
        <v>7072</v>
      </c>
      <c r="W575" s="16" t="s">
        <v>17</v>
      </c>
      <c r="X575" s="16" t="s">
        <v>7398</v>
      </c>
      <c r="Y575" s="16" t="s">
        <v>17</v>
      </c>
      <c r="Z575" s="16" t="s">
        <v>6926</v>
      </c>
    </row>
    <row r="576" spans="1:26" x14ac:dyDescent="0.3">
      <c r="A576" s="16">
        <v>575</v>
      </c>
      <c r="B576" s="16" t="s">
        <v>8048</v>
      </c>
      <c r="C576" s="17">
        <v>9780071432412</v>
      </c>
      <c r="D576" s="17">
        <v>9780071432412</v>
      </c>
      <c r="E576" s="16" t="s">
        <v>6920</v>
      </c>
      <c r="F576" s="16" t="s">
        <v>17</v>
      </c>
      <c r="G576" s="16" t="s">
        <v>17</v>
      </c>
      <c r="H576" s="16" t="s">
        <v>17</v>
      </c>
      <c r="I576" s="16" t="s">
        <v>17</v>
      </c>
      <c r="J576" s="16" t="s">
        <v>17</v>
      </c>
      <c r="K576" s="16" t="s">
        <v>1125</v>
      </c>
      <c r="L576" s="16" t="s">
        <v>413</v>
      </c>
      <c r="M576" s="16" t="s">
        <v>8048</v>
      </c>
      <c r="N576" s="16" t="s">
        <v>17</v>
      </c>
      <c r="O576" s="16" t="s">
        <v>6921</v>
      </c>
      <c r="P576" s="16" t="s">
        <v>17</v>
      </c>
      <c r="Q576" s="16" t="s">
        <v>6922</v>
      </c>
      <c r="R576" s="16" t="s">
        <v>6923</v>
      </c>
      <c r="S576" s="16" t="s">
        <v>17</v>
      </c>
      <c r="T576" s="16" t="s">
        <v>6920</v>
      </c>
      <c r="U576" s="16" t="s">
        <v>17</v>
      </c>
      <c r="V576" s="16" t="s">
        <v>7320</v>
      </c>
      <c r="W576" s="16" t="s">
        <v>17</v>
      </c>
      <c r="X576" s="16" t="s">
        <v>8048</v>
      </c>
      <c r="Y576" s="16" t="s">
        <v>17</v>
      </c>
      <c r="Z576" s="16" t="s">
        <v>6926</v>
      </c>
    </row>
    <row r="577" spans="1:26" x14ac:dyDescent="0.3">
      <c r="A577" s="16">
        <v>576</v>
      </c>
      <c r="B577" s="16" t="s">
        <v>7311</v>
      </c>
      <c r="C577" s="17">
        <v>9780071443227</v>
      </c>
      <c r="D577" s="17">
        <v>9780071443227</v>
      </c>
      <c r="E577" s="16" t="s">
        <v>6920</v>
      </c>
      <c r="F577" s="16" t="s">
        <v>17</v>
      </c>
      <c r="G577" s="16" t="s">
        <v>17</v>
      </c>
      <c r="H577" s="16" t="s">
        <v>17</v>
      </c>
      <c r="I577" s="16" t="s">
        <v>17</v>
      </c>
      <c r="J577" s="16" t="s">
        <v>17</v>
      </c>
      <c r="K577" s="16" t="s">
        <v>336</v>
      </c>
      <c r="L577" s="16" t="s">
        <v>7312</v>
      </c>
      <c r="M577" s="16" t="s">
        <v>7311</v>
      </c>
      <c r="N577" s="16" t="s">
        <v>17</v>
      </c>
      <c r="O577" s="16" t="s">
        <v>6921</v>
      </c>
      <c r="P577" s="16" t="s">
        <v>17</v>
      </c>
      <c r="Q577" s="16" t="s">
        <v>6922</v>
      </c>
      <c r="R577" s="16" t="s">
        <v>6923</v>
      </c>
      <c r="S577" s="16" t="s">
        <v>17</v>
      </c>
      <c r="T577" s="16" t="s">
        <v>6920</v>
      </c>
      <c r="U577" s="16" t="s">
        <v>17</v>
      </c>
      <c r="V577" s="16" t="s">
        <v>6929</v>
      </c>
      <c r="W577" s="16" t="s">
        <v>17</v>
      </c>
      <c r="X577" s="16" t="s">
        <v>7311</v>
      </c>
      <c r="Y577" s="16" t="s">
        <v>17</v>
      </c>
      <c r="Z577" s="16" t="s">
        <v>6926</v>
      </c>
    </row>
    <row r="578" spans="1:26" x14ac:dyDescent="0.3">
      <c r="A578" s="16">
        <v>577</v>
      </c>
      <c r="B578" s="16" t="s">
        <v>1423</v>
      </c>
      <c r="C578" s="17">
        <v>9780071459518</v>
      </c>
      <c r="D578" s="17">
        <v>9780071459518</v>
      </c>
      <c r="E578" s="16" t="s">
        <v>8339</v>
      </c>
      <c r="F578" s="16" t="s">
        <v>17</v>
      </c>
      <c r="G578" s="16" t="s">
        <v>17</v>
      </c>
      <c r="H578" s="16" t="s">
        <v>17</v>
      </c>
      <c r="I578" s="16" t="s">
        <v>17</v>
      </c>
      <c r="J578" s="16" t="s">
        <v>17</v>
      </c>
      <c r="K578" s="16" t="s">
        <v>1425</v>
      </c>
      <c r="L578" s="16" t="s">
        <v>1424</v>
      </c>
      <c r="M578" s="16" t="s">
        <v>1423</v>
      </c>
      <c r="N578" s="16" t="s">
        <v>17</v>
      </c>
      <c r="O578" s="16" t="s">
        <v>6921</v>
      </c>
      <c r="P578" s="16" t="s">
        <v>17</v>
      </c>
      <c r="Q578" s="16" t="s">
        <v>6922</v>
      </c>
      <c r="R578" s="16" t="s">
        <v>6923</v>
      </c>
      <c r="S578" s="16" t="s">
        <v>17</v>
      </c>
      <c r="T578" s="16" t="s">
        <v>8339</v>
      </c>
      <c r="U578" s="16" t="s">
        <v>17</v>
      </c>
      <c r="V578" s="16" t="s">
        <v>7049</v>
      </c>
      <c r="W578" s="16" t="s">
        <v>17</v>
      </c>
      <c r="X578" s="16" t="s">
        <v>1423</v>
      </c>
      <c r="Y578" s="16" t="s">
        <v>17</v>
      </c>
      <c r="Z578" s="16" t="s">
        <v>6926</v>
      </c>
    </row>
    <row r="579" spans="1:26" x14ac:dyDescent="0.3">
      <c r="A579" s="16">
        <v>578</v>
      </c>
      <c r="B579" s="16" t="s">
        <v>975</v>
      </c>
      <c r="C579" s="17">
        <v>9780071363273</v>
      </c>
      <c r="D579" s="17">
        <v>9780071363273</v>
      </c>
      <c r="E579" s="16" t="s">
        <v>6920</v>
      </c>
      <c r="F579" s="16" t="s">
        <v>17</v>
      </c>
      <c r="G579" s="16" t="s">
        <v>17</v>
      </c>
      <c r="H579" s="16" t="s">
        <v>17</v>
      </c>
      <c r="I579" s="16" t="s">
        <v>17</v>
      </c>
      <c r="J579" s="16" t="s">
        <v>17</v>
      </c>
      <c r="K579" s="16" t="s">
        <v>976</v>
      </c>
      <c r="L579" s="16" t="s">
        <v>297</v>
      </c>
      <c r="M579" s="16" t="s">
        <v>975</v>
      </c>
      <c r="N579" s="16" t="s">
        <v>17</v>
      </c>
      <c r="O579" s="16" t="s">
        <v>6921</v>
      </c>
      <c r="P579" s="16" t="s">
        <v>17</v>
      </c>
      <c r="Q579" s="16" t="s">
        <v>6922</v>
      </c>
      <c r="R579" s="16" t="s">
        <v>6923</v>
      </c>
      <c r="S579" s="16" t="s">
        <v>17</v>
      </c>
      <c r="T579" s="16" t="s">
        <v>6920</v>
      </c>
      <c r="U579" s="16" t="s">
        <v>17</v>
      </c>
      <c r="V579" s="16" t="s">
        <v>7049</v>
      </c>
      <c r="W579" s="16" t="s">
        <v>17</v>
      </c>
      <c r="X579" s="16" t="s">
        <v>975</v>
      </c>
      <c r="Y579" s="16" t="s">
        <v>17</v>
      </c>
      <c r="Z579" s="16" t="s">
        <v>6926</v>
      </c>
    </row>
    <row r="580" spans="1:26" x14ac:dyDescent="0.3">
      <c r="A580" s="16">
        <v>579</v>
      </c>
      <c r="B580" s="16" t="s">
        <v>7434</v>
      </c>
      <c r="C580" s="17">
        <v>9780071701228</v>
      </c>
      <c r="D580" s="17">
        <v>9780071701228</v>
      </c>
      <c r="E580" s="16" t="s">
        <v>6920</v>
      </c>
      <c r="F580" s="16" t="s">
        <v>17</v>
      </c>
      <c r="G580" s="16" t="s">
        <v>17</v>
      </c>
      <c r="H580" s="16" t="s">
        <v>17</v>
      </c>
      <c r="I580" s="16" t="s">
        <v>17</v>
      </c>
      <c r="J580" s="16" t="s">
        <v>17</v>
      </c>
      <c r="K580" s="16" t="s">
        <v>440</v>
      </c>
      <c r="L580" s="16" t="s">
        <v>439</v>
      </c>
      <c r="M580" s="16" t="s">
        <v>7434</v>
      </c>
      <c r="N580" s="16" t="s">
        <v>17</v>
      </c>
      <c r="O580" s="16" t="s">
        <v>6921</v>
      </c>
      <c r="P580" s="16" t="s">
        <v>17</v>
      </c>
      <c r="Q580" s="16" t="s">
        <v>6922</v>
      </c>
      <c r="R580" s="16" t="s">
        <v>6923</v>
      </c>
      <c r="S580" s="16" t="s">
        <v>17</v>
      </c>
      <c r="T580" s="16" t="s">
        <v>6920</v>
      </c>
      <c r="U580" s="16" t="s">
        <v>17</v>
      </c>
      <c r="V580" s="16" t="s">
        <v>6924</v>
      </c>
      <c r="W580" s="16" t="s">
        <v>17</v>
      </c>
      <c r="X580" s="16" t="s">
        <v>7434</v>
      </c>
      <c r="Y580" s="16" t="s">
        <v>17</v>
      </c>
      <c r="Z580" s="16" t="s">
        <v>6926</v>
      </c>
    </row>
    <row r="581" spans="1:26" x14ac:dyDescent="0.3">
      <c r="A581" s="16">
        <v>580</v>
      </c>
      <c r="B581" s="16" t="s">
        <v>8447</v>
      </c>
      <c r="C581" s="17">
        <v>9781264922444</v>
      </c>
      <c r="D581" s="17">
        <v>9781264922444</v>
      </c>
      <c r="E581" s="16" t="s">
        <v>8448</v>
      </c>
      <c r="F581" s="16" t="s">
        <v>17</v>
      </c>
      <c r="G581" s="16" t="s">
        <v>17</v>
      </c>
      <c r="H581" s="16" t="s">
        <v>17</v>
      </c>
      <c r="I581" s="16" t="s">
        <v>17</v>
      </c>
      <c r="J581" s="16" t="s">
        <v>17</v>
      </c>
      <c r="K581" s="16" t="s">
        <v>1627</v>
      </c>
      <c r="L581" s="16" t="s">
        <v>17</v>
      </c>
      <c r="M581" s="16" t="s">
        <v>8447</v>
      </c>
      <c r="N581" s="16" t="s">
        <v>17</v>
      </c>
      <c r="O581" s="16" t="s">
        <v>6921</v>
      </c>
      <c r="P581" s="16" t="s">
        <v>17</v>
      </c>
      <c r="Q581" s="16" t="s">
        <v>6922</v>
      </c>
      <c r="R581" s="16" t="s">
        <v>6923</v>
      </c>
      <c r="S581" s="16" t="s">
        <v>17</v>
      </c>
      <c r="T581" s="16" t="s">
        <v>8448</v>
      </c>
      <c r="U581" s="16" t="s">
        <v>17</v>
      </c>
      <c r="V581" s="16" t="s">
        <v>6929</v>
      </c>
      <c r="W581" s="16" t="s">
        <v>8449</v>
      </c>
      <c r="X581" s="16" t="s">
        <v>8447</v>
      </c>
      <c r="Y581" s="16" t="s">
        <v>17</v>
      </c>
      <c r="Z581" s="16" t="s">
        <v>6926</v>
      </c>
    </row>
    <row r="582" spans="1:26" x14ac:dyDescent="0.3">
      <c r="A582" s="16">
        <v>581</v>
      </c>
      <c r="B582" s="16" t="s">
        <v>7906</v>
      </c>
      <c r="C582" s="17">
        <v>9780070371033</v>
      </c>
      <c r="D582" s="17">
        <v>9780070371033</v>
      </c>
      <c r="E582" s="16" t="s">
        <v>6920</v>
      </c>
      <c r="F582" s="16" t="s">
        <v>17</v>
      </c>
      <c r="G582" s="16" t="s">
        <v>17</v>
      </c>
      <c r="H582" s="16" t="s">
        <v>17</v>
      </c>
      <c r="I582" s="16" t="s">
        <v>17</v>
      </c>
      <c r="J582" s="16" t="s">
        <v>17</v>
      </c>
      <c r="K582" s="16" t="s">
        <v>909</v>
      </c>
      <c r="L582" s="16" t="s">
        <v>908</v>
      </c>
      <c r="M582" s="16" t="s">
        <v>7906</v>
      </c>
      <c r="N582" s="16" t="s">
        <v>17</v>
      </c>
      <c r="O582" s="16" t="s">
        <v>6921</v>
      </c>
      <c r="P582" s="16" t="s">
        <v>17</v>
      </c>
      <c r="Q582" s="16" t="s">
        <v>6922</v>
      </c>
      <c r="R582" s="16" t="s">
        <v>6923</v>
      </c>
      <c r="S582" s="16" t="s">
        <v>17</v>
      </c>
      <c r="T582" s="16" t="s">
        <v>6920</v>
      </c>
      <c r="U582" s="16" t="s">
        <v>17</v>
      </c>
      <c r="V582" s="16" t="s">
        <v>7480</v>
      </c>
      <c r="W582" s="16" t="s">
        <v>17</v>
      </c>
      <c r="X582" s="16" t="s">
        <v>7906</v>
      </c>
      <c r="Y582" s="16" t="s">
        <v>17</v>
      </c>
      <c r="Z582" s="16" t="s">
        <v>6926</v>
      </c>
    </row>
    <row r="583" spans="1:26" x14ac:dyDescent="0.3">
      <c r="A583" s="16">
        <v>582</v>
      </c>
      <c r="B583" s="16" t="s">
        <v>7800</v>
      </c>
      <c r="C583" s="17">
        <v>9780071714457</v>
      </c>
      <c r="D583" s="17">
        <v>9780071714457</v>
      </c>
      <c r="E583" s="16" t="s">
        <v>7271</v>
      </c>
      <c r="F583" s="16" t="s">
        <v>17</v>
      </c>
      <c r="G583" s="16" t="s">
        <v>17</v>
      </c>
      <c r="H583" s="16" t="s">
        <v>17</v>
      </c>
      <c r="I583" s="16" t="s">
        <v>17</v>
      </c>
      <c r="J583" s="16" t="s">
        <v>17</v>
      </c>
      <c r="K583" s="16" t="s">
        <v>775</v>
      </c>
      <c r="L583" s="16" t="s">
        <v>7801</v>
      </c>
      <c r="M583" s="16" t="s">
        <v>7800</v>
      </c>
      <c r="N583" s="16" t="s">
        <v>17</v>
      </c>
      <c r="O583" s="16" t="s">
        <v>6921</v>
      </c>
      <c r="P583" s="16" t="s">
        <v>17</v>
      </c>
      <c r="Q583" s="16" t="s">
        <v>6922</v>
      </c>
      <c r="R583" s="16" t="s">
        <v>6923</v>
      </c>
      <c r="S583" s="16" t="s">
        <v>17</v>
      </c>
      <c r="T583" s="16" t="s">
        <v>7271</v>
      </c>
      <c r="U583" s="16" t="s">
        <v>17</v>
      </c>
      <c r="V583" s="16" t="s">
        <v>6929</v>
      </c>
      <c r="W583" s="16" t="s">
        <v>17</v>
      </c>
      <c r="X583" s="16" t="s">
        <v>7800</v>
      </c>
      <c r="Y583" s="16" t="s">
        <v>17</v>
      </c>
      <c r="Z583" s="16" t="s">
        <v>6926</v>
      </c>
    </row>
    <row r="584" spans="1:26" x14ac:dyDescent="0.3">
      <c r="A584" s="16">
        <v>583</v>
      </c>
      <c r="B584" s="16" t="s">
        <v>7500</v>
      </c>
      <c r="C584" s="17">
        <v>9780071464628</v>
      </c>
      <c r="D584" s="17">
        <v>9780071464628</v>
      </c>
      <c r="E584" s="16" t="s">
        <v>6920</v>
      </c>
      <c r="F584" s="16" t="s">
        <v>17</v>
      </c>
      <c r="G584" s="16" t="s">
        <v>17</v>
      </c>
      <c r="H584" s="16" t="s">
        <v>17</v>
      </c>
      <c r="I584" s="16" t="s">
        <v>17</v>
      </c>
      <c r="J584" s="16" t="s">
        <v>17</v>
      </c>
      <c r="K584" s="16" t="s">
        <v>511</v>
      </c>
      <c r="L584" s="16" t="s">
        <v>17</v>
      </c>
      <c r="M584" s="16" t="s">
        <v>7500</v>
      </c>
      <c r="N584" s="16" t="s">
        <v>17</v>
      </c>
      <c r="O584" s="16" t="s">
        <v>6921</v>
      </c>
      <c r="P584" s="16" t="s">
        <v>17</v>
      </c>
      <c r="Q584" s="16" t="s">
        <v>6922</v>
      </c>
      <c r="R584" s="16" t="s">
        <v>6923</v>
      </c>
      <c r="S584" s="16" t="s">
        <v>17</v>
      </c>
      <c r="T584" s="16" t="s">
        <v>6920</v>
      </c>
      <c r="U584" s="16" t="s">
        <v>17</v>
      </c>
      <c r="V584" s="16" t="s">
        <v>6929</v>
      </c>
      <c r="W584" s="16" t="s">
        <v>7501</v>
      </c>
      <c r="X584" s="16" t="s">
        <v>7500</v>
      </c>
      <c r="Y584" s="16" t="s">
        <v>17</v>
      </c>
      <c r="Z584" s="16" t="s">
        <v>6926</v>
      </c>
    </row>
    <row r="585" spans="1:26" x14ac:dyDescent="0.3">
      <c r="A585" s="16">
        <v>584</v>
      </c>
      <c r="B585" s="16" t="s">
        <v>8115</v>
      </c>
      <c r="C585" s="17">
        <v>9781259642029</v>
      </c>
      <c r="D585" s="17">
        <v>9781259642029</v>
      </c>
      <c r="E585" s="16" t="s">
        <v>8116</v>
      </c>
      <c r="F585" s="16" t="s">
        <v>17</v>
      </c>
      <c r="G585" s="16" t="s">
        <v>17</v>
      </c>
      <c r="H585" s="16" t="s">
        <v>17</v>
      </c>
      <c r="I585" s="16" t="s">
        <v>17</v>
      </c>
      <c r="J585" s="16" t="s">
        <v>17</v>
      </c>
      <c r="K585" s="16" t="s">
        <v>1204</v>
      </c>
      <c r="L585" s="16" t="s">
        <v>1203</v>
      </c>
      <c r="M585" s="16" t="s">
        <v>8115</v>
      </c>
      <c r="N585" s="16" t="s">
        <v>17</v>
      </c>
      <c r="O585" s="16" t="s">
        <v>6921</v>
      </c>
      <c r="P585" s="16" t="s">
        <v>17</v>
      </c>
      <c r="Q585" s="16" t="s">
        <v>6922</v>
      </c>
      <c r="R585" s="16" t="s">
        <v>6923</v>
      </c>
      <c r="S585" s="16" t="s">
        <v>17</v>
      </c>
      <c r="T585" s="16" t="s">
        <v>8116</v>
      </c>
      <c r="U585" s="16" t="s">
        <v>17</v>
      </c>
      <c r="V585" s="16" t="s">
        <v>6929</v>
      </c>
      <c r="W585" s="16" t="s">
        <v>17</v>
      </c>
      <c r="X585" s="16" t="s">
        <v>8115</v>
      </c>
      <c r="Y585" s="16" t="s">
        <v>17</v>
      </c>
      <c r="Z585" s="16" t="s">
        <v>6926</v>
      </c>
    </row>
    <row r="586" spans="1:26" x14ac:dyDescent="0.3">
      <c r="A586" s="16">
        <v>585</v>
      </c>
      <c r="B586" s="16" t="s">
        <v>7930</v>
      </c>
      <c r="C586" s="17">
        <v>9781260459241</v>
      </c>
      <c r="D586" s="17">
        <v>9781260459241</v>
      </c>
      <c r="E586" s="16" t="s">
        <v>7931</v>
      </c>
      <c r="F586" s="16" t="s">
        <v>17</v>
      </c>
      <c r="G586" s="16" t="s">
        <v>17</v>
      </c>
      <c r="H586" s="16" t="s">
        <v>17</v>
      </c>
      <c r="I586" s="16" t="s">
        <v>17</v>
      </c>
      <c r="J586" s="16" t="s">
        <v>17</v>
      </c>
      <c r="K586" s="16" t="s">
        <v>944</v>
      </c>
      <c r="L586" s="16" t="s">
        <v>7932</v>
      </c>
      <c r="M586" s="16" t="s">
        <v>7930</v>
      </c>
      <c r="N586" s="16" t="s">
        <v>17</v>
      </c>
      <c r="O586" s="16" t="s">
        <v>6921</v>
      </c>
      <c r="P586" s="16" t="s">
        <v>17</v>
      </c>
      <c r="Q586" s="16" t="s">
        <v>6922</v>
      </c>
      <c r="R586" s="16" t="s">
        <v>6923</v>
      </c>
      <c r="S586" s="16" t="s">
        <v>17</v>
      </c>
      <c r="T586" s="16" t="s">
        <v>7931</v>
      </c>
      <c r="U586" s="16" t="s">
        <v>17</v>
      </c>
      <c r="V586" s="16" t="s">
        <v>6929</v>
      </c>
      <c r="W586" s="16" t="s">
        <v>17</v>
      </c>
      <c r="X586" s="16" t="s">
        <v>7930</v>
      </c>
      <c r="Y586" s="16" t="s">
        <v>17</v>
      </c>
      <c r="Z586" s="16" t="s">
        <v>6926</v>
      </c>
    </row>
    <row r="587" spans="1:26" x14ac:dyDescent="0.3">
      <c r="A587" s="16">
        <v>586</v>
      </c>
      <c r="B587" s="16" t="s">
        <v>7527</v>
      </c>
      <c r="C587" s="17">
        <v>9780071476874</v>
      </c>
      <c r="D587" s="17">
        <v>9780071476874</v>
      </c>
      <c r="E587" s="16" t="s">
        <v>6920</v>
      </c>
      <c r="F587" s="16" t="s">
        <v>17</v>
      </c>
      <c r="G587" s="16" t="s">
        <v>17</v>
      </c>
      <c r="H587" s="16" t="s">
        <v>17</v>
      </c>
      <c r="I587" s="16" t="s">
        <v>17</v>
      </c>
      <c r="J587" s="16" t="s">
        <v>17</v>
      </c>
      <c r="K587" s="16" t="s">
        <v>524</v>
      </c>
      <c r="L587" s="16" t="s">
        <v>7528</v>
      </c>
      <c r="M587" s="16" t="s">
        <v>7527</v>
      </c>
      <c r="N587" s="16" t="s">
        <v>17</v>
      </c>
      <c r="O587" s="16" t="s">
        <v>6921</v>
      </c>
      <c r="P587" s="16" t="s">
        <v>17</v>
      </c>
      <c r="Q587" s="16" t="s">
        <v>6922</v>
      </c>
      <c r="R587" s="16" t="s">
        <v>6923</v>
      </c>
      <c r="S587" s="16" t="s">
        <v>17</v>
      </c>
      <c r="T587" s="16" t="s">
        <v>6920</v>
      </c>
      <c r="U587" s="16" t="s">
        <v>17</v>
      </c>
      <c r="V587" s="16" t="s">
        <v>7024</v>
      </c>
      <c r="W587" s="16" t="s">
        <v>17</v>
      </c>
      <c r="X587" s="16" t="s">
        <v>7527</v>
      </c>
      <c r="Y587" s="16" t="s">
        <v>17</v>
      </c>
      <c r="Z587" s="16" t="s">
        <v>6926</v>
      </c>
    </row>
    <row r="588" spans="1:26" x14ac:dyDescent="0.3">
      <c r="A588" s="16">
        <v>587</v>
      </c>
      <c r="B588" s="16" t="s">
        <v>7678</v>
      </c>
      <c r="C588" s="17">
        <v>9780070267145</v>
      </c>
      <c r="D588" s="17">
        <v>9780070267145</v>
      </c>
      <c r="E588" s="16" t="s">
        <v>6920</v>
      </c>
      <c r="F588" s="16" t="s">
        <v>17</v>
      </c>
      <c r="G588" s="16" t="s">
        <v>17</v>
      </c>
      <c r="H588" s="16" t="s">
        <v>17</v>
      </c>
      <c r="I588" s="16" t="s">
        <v>17</v>
      </c>
      <c r="J588" s="16" t="s">
        <v>17</v>
      </c>
      <c r="K588" s="16" t="s">
        <v>669</v>
      </c>
      <c r="L588" s="16" t="s">
        <v>17</v>
      </c>
      <c r="M588" s="16" t="s">
        <v>7678</v>
      </c>
      <c r="N588" s="16" t="s">
        <v>17</v>
      </c>
      <c r="O588" s="16" t="s">
        <v>6921</v>
      </c>
      <c r="P588" s="16" t="s">
        <v>17</v>
      </c>
      <c r="Q588" s="16" t="s">
        <v>6922</v>
      </c>
      <c r="R588" s="16" t="s">
        <v>6923</v>
      </c>
      <c r="S588" s="16" t="s">
        <v>17</v>
      </c>
      <c r="T588" s="16" t="s">
        <v>6920</v>
      </c>
      <c r="U588" s="16" t="s">
        <v>17</v>
      </c>
      <c r="V588" s="16" t="s">
        <v>6929</v>
      </c>
      <c r="W588" s="16" t="s">
        <v>7093</v>
      </c>
      <c r="X588" s="16" t="s">
        <v>7678</v>
      </c>
      <c r="Y588" s="16" t="s">
        <v>17</v>
      </c>
      <c r="Z588" s="16" t="s">
        <v>6926</v>
      </c>
    </row>
    <row r="589" spans="1:26" x14ac:dyDescent="0.3">
      <c r="A589" s="16">
        <v>588</v>
      </c>
      <c r="B589" s="16" t="s">
        <v>7658</v>
      </c>
      <c r="C589" s="17">
        <v>9780071496605</v>
      </c>
      <c r="D589" s="17">
        <v>9780071496605</v>
      </c>
      <c r="E589" s="16" t="s">
        <v>6920</v>
      </c>
      <c r="F589" s="16" t="s">
        <v>17</v>
      </c>
      <c r="G589" s="16" t="s">
        <v>17</v>
      </c>
      <c r="H589" s="16" t="s">
        <v>17</v>
      </c>
      <c r="I589" s="16" t="s">
        <v>17</v>
      </c>
      <c r="J589" s="16" t="s">
        <v>17</v>
      </c>
      <c r="K589" s="16" t="s">
        <v>648</v>
      </c>
      <c r="L589" s="16" t="s">
        <v>646</v>
      </c>
      <c r="M589" s="16" t="s">
        <v>7658</v>
      </c>
      <c r="N589" s="16" t="s">
        <v>17</v>
      </c>
      <c r="O589" s="16" t="s">
        <v>6921</v>
      </c>
      <c r="P589" s="16" t="s">
        <v>17</v>
      </c>
      <c r="Q589" s="16" t="s">
        <v>6922</v>
      </c>
      <c r="R589" s="16" t="s">
        <v>6923</v>
      </c>
      <c r="S589" s="16" t="s">
        <v>17</v>
      </c>
      <c r="T589" s="16" t="s">
        <v>6920</v>
      </c>
      <c r="U589" s="16" t="s">
        <v>17</v>
      </c>
      <c r="V589" s="16" t="s">
        <v>6929</v>
      </c>
      <c r="W589" s="16" t="s">
        <v>17</v>
      </c>
      <c r="X589" s="16" t="s">
        <v>7658</v>
      </c>
      <c r="Y589" s="16" t="s">
        <v>17</v>
      </c>
      <c r="Z589" s="16" t="s">
        <v>6926</v>
      </c>
    </row>
    <row r="590" spans="1:26" x14ac:dyDescent="0.3">
      <c r="A590" s="16">
        <v>589</v>
      </c>
      <c r="B590" s="16" t="s">
        <v>8309</v>
      </c>
      <c r="C590" s="17">
        <v>9781260011647</v>
      </c>
      <c r="D590" s="17">
        <v>9781260011647</v>
      </c>
      <c r="E590" s="16" t="s">
        <v>7340</v>
      </c>
      <c r="F590" s="16" t="s">
        <v>17</v>
      </c>
      <c r="G590" s="16" t="s">
        <v>17</v>
      </c>
      <c r="H590" s="16" t="s">
        <v>17</v>
      </c>
      <c r="I590" s="16" t="s">
        <v>17</v>
      </c>
      <c r="J590" s="16" t="s">
        <v>17</v>
      </c>
      <c r="K590" s="16" t="s">
        <v>1365</v>
      </c>
      <c r="L590" s="16" t="s">
        <v>8310</v>
      </c>
      <c r="M590" s="16" t="s">
        <v>8309</v>
      </c>
      <c r="N590" s="16" t="s">
        <v>17</v>
      </c>
      <c r="O590" s="16" t="s">
        <v>6921</v>
      </c>
      <c r="P590" s="16" t="s">
        <v>17</v>
      </c>
      <c r="Q590" s="16" t="s">
        <v>6922</v>
      </c>
      <c r="R590" s="16" t="s">
        <v>6923</v>
      </c>
      <c r="S590" s="16" t="s">
        <v>17</v>
      </c>
      <c r="T590" s="16" t="s">
        <v>7340</v>
      </c>
      <c r="U590" s="16" t="s">
        <v>17</v>
      </c>
      <c r="V590" s="16" t="s">
        <v>7145</v>
      </c>
      <c r="W590" s="16" t="s">
        <v>17</v>
      </c>
      <c r="X590" s="16" t="s">
        <v>8309</v>
      </c>
      <c r="Y590" s="16" t="s">
        <v>17</v>
      </c>
      <c r="Z590" s="16" t="s">
        <v>6926</v>
      </c>
    </row>
    <row r="591" spans="1:26" x14ac:dyDescent="0.3">
      <c r="A591" s="16">
        <v>590</v>
      </c>
      <c r="B591" s="16" t="s">
        <v>7319</v>
      </c>
      <c r="C591" s="17">
        <v>9780071430586</v>
      </c>
      <c r="D591" s="17">
        <v>9780071430586</v>
      </c>
      <c r="E591" s="16" t="s">
        <v>6920</v>
      </c>
      <c r="F591" s="16" t="s">
        <v>17</v>
      </c>
      <c r="G591" s="16" t="s">
        <v>17</v>
      </c>
      <c r="H591" s="16" t="s">
        <v>17</v>
      </c>
      <c r="I591" s="16" t="s">
        <v>17</v>
      </c>
      <c r="J591" s="16" t="s">
        <v>17</v>
      </c>
      <c r="K591" s="16" t="s">
        <v>344</v>
      </c>
      <c r="L591" s="16" t="s">
        <v>343</v>
      </c>
      <c r="M591" s="16" t="s">
        <v>7319</v>
      </c>
      <c r="N591" s="16" t="s">
        <v>17</v>
      </c>
      <c r="O591" s="16" t="s">
        <v>6921</v>
      </c>
      <c r="P591" s="16" t="s">
        <v>17</v>
      </c>
      <c r="Q591" s="16" t="s">
        <v>6922</v>
      </c>
      <c r="R591" s="16" t="s">
        <v>6923</v>
      </c>
      <c r="S591" s="16" t="s">
        <v>17</v>
      </c>
      <c r="T591" s="16" t="s">
        <v>6920</v>
      </c>
      <c r="U591" s="16" t="s">
        <v>17</v>
      </c>
      <c r="V591" s="16" t="s">
        <v>7320</v>
      </c>
      <c r="W591" s="16" t="s">
        <v>17</v>
      </c>
      <c r="X591" s="16" t="s">
        <v>7319</v>
      </c>
      <c r="Y591" s="16" t="s">
        <v>17</v>
      </c>
      <c r="Z591" s="16" t="s">
        <v>6926</v>
      </c>
    </row>
    <row r="592" spans="1:26" x14ac:dyDescent="0.3">
      <c r="A592" s="16">
        <v>591</v>
      </c>
      <c r="B592" s="16" t="s">
        <v>7659</v>
      </c>
      <c r="C592" s="17">
        <v>9780071432085</v>
      </c>
      <c r="D592" s="17">
        <v>9780071432085</v>
      </c>
      <c r="E592" s="16" t="s">
        <v>6920</v>
      </c>
      <c r="F592" s="16" t="s">
        <v>17</v>
      </c>
      <c r="G592" s="16" t="s">
        <v>17</v>
      </c>
      <c r="H592" s="16" t="s">
        <v>17</v>
      </c>
      <c r="I592" s="16" t="s">
        <v>17</v>
      </c>
      <c r="J592" s="16" t="s">
        <v>17</v>
      </c>
      <c r="K592" s="16" t="s">
        <v>650</v>
      </c>
      <c r="L592" s="16" t="s">
        <v>535</v>
      </c>
      <c r="M592" s="16" t="s">
        <v>7659</v>
      </c>
      <c r="N592" s="16" t="s">
        <v>17</v>
      </c>
      <c r="O592" s="16" t="s">
        <v>6921</v>
      </c>
      <c r="P592" s="16" t="s">
        <v>17</v>
      </c>
      <c r="Q592" s="16" t="s">
        <v>6922</v>
      </c>
      <c r="R592" s="16" t="s">
        <v>6923</v>
      </c>
      <c r="S592" s="16" t="s">
        <v>17</v>
      </c>
      <c r="T592" s="16" t="s">
        <v>6920</v>
      </c>
      <c r="U592" s="16" t="s">
        <v>17</v>
      </c>
      <c r="V592" s="16" t="s">
        <v>6929</v>
      </c>
      <c r="W592" s="16" t="s">
        <v>17</v>
      </c>
      <c r="X592" s="16" t="s">
        <v>7659</v>
      </c>
      <c r="Y592" s="16" t="s">
        <v>17</v>
      </c>
      <c r="Z592" s="16" t="s">
        <v>6926</v>
      </c>
    </row>
    <row r="593" spans="1:26" x14ac:dyDescent="0.3">
      <c r="A593" s="16">
        <v>592</v>
      </c>
      <c r="B593" s="16" t="s">
        <v>7099</v>
      </c>
      <c r="C593" s="17">
        <v>9780071848091</v>
      </c>
      <c r="D593" s="17">
        <v>9780071848091</v>
      </c>
      <c r="E593" s="16" t="s">
        <v>7100</v>
      </c>
      <c r="F593" s="16" t="s">
        <v>17</v>
      </c>
      <c r="G593" s="16" t="s">
        <v>17</v>
      </c>
      <c r="H593" s="16" t="s">
        <v>17</v>
      </c>
      <c r="I593" s="16" t="s">
        <v>17</v>
      </c>
      <c r="J593" s="16" t="s">
        <v>17</v>
      </c>
      <c r="K593" s="16" t="s">
        <v>161</v>
      </c>
      <c r="L593" s="16" t="s">
        <v>7101</v>
      </c>
      <c r="M593" s="16" t="s">
        <v>7099</v>
      </c>
      <c r="N593" s="16" t="s">
        <v>17</v>
      </c>
      <c r="O593" s="16" t="s">
        <v>6921</v>
      </c>
      <c r="P593" s="16" t="s">
        <v>17</v>
      </c>
      <c r="Q593" s="16" t="s">
        <v>6922</v>
      </c>
      <c r="R593" s="16" t="s">
        <v>6923</v>
      </c>
      <c r="S593" s="16" t="s">
        <v>17</v>
      </c>
      <c r="T593" s="16" t="s">
        <v>7100</v>
      </c>
      <c r="U593" s="16" t="s">
        <v>17</v>
      </c>
      <c r="V593" s="16" t="s">
        <v>6949</v>
      </c>
      <c r="W593" s="16" t="s">
        <v>17</v>
      </c>
      <c r="X593" s="16" t="s">
        <v>7099</v>
      </c>
      <c r="Y593" s="16" t="s">
        <v>17</v>
      </c>
      <c r="Z593" s="16" t="s">
        <v>6926</v>
      </c>
    </row>
    <row r="594" spans="1:26" x14ac:dyDescent="0.3">
      <c r="A594" s="16">
        <v>593</v>
      </c>
      <c r="B594" s="16" t="s">
        <v>7812</v>
      </c>
      <c r="C594" s="17">
        <v>9780071743006</v>
      </c>
      <c r="D594" s="17">
        <v>9780071743006</v>
      </c>
      <c r="E594" s="16" t="s">
        <v>7627</v>
      </c>
      <c r="F594" s="16" t="s">
        <v>17</v>
      </c>
      <c r="G594" s="16" t="s">
        <v>17</v>
      </c>
      <c r="H594" s="16" t="s">
        <v>17</v>
      </c>
      <c r="I594" s="16" t="s">
        <v>17</v>
      </c>
      <c r="J594" s="16" t="s">
        <v>17</v>
      </c>
      <c r="K594" s="16" t="s">
        <v>787</v>
      </c>
      <c r="L594" s="16" t="s">
        <v>786</v>
      </c>
      <c r="M594" s="16" t="s">
        <v>7812</v>
      </c>
      <c r="N594" s="16" t="s">
        <v>17</v>
      </c>
      <c r="O594" s="16" t="s">
        <v>6921</v>
      </c>
      <c r="P594" s="16" t="s">
        <v>17</v>
      </c>
      <c r="Q594" s="16" t="s">
        <v>6922</v>
      </c>
      <c r="R594" s="16" t="s">
        <v>6923</v>
      </c>
      <c r="S594" s="16" t="s">
        <v>17</v>
      </c>
      <c r="T594" s="16" t="s">
        <v>7627</v>
      </c>
      <c r="U594" s="16" t="s">
        <v>17</v>
      </c>
      <c r="V594" s="16" t="s">
        <v>6924</v>
      </c>
      <c r="W594" s="16" t="s">
        <v>17</v>
      </c>
      <c r="X594" s="16" t="s">
        <v>7812</v>
      </c>
      <c r="Y594" s="16" t="s">
        <v>17</v>
      </c>
      <c r="Z594" s="16" t="s">
        <v>6926</v>
      </c>
    </row>
    <row r="595" spans="1:26" x14ac:dyDescent="0.3">
      <c r="A595" s="16">
        <v>594</v>
      </c>
      <c r="B595" s="16" t="s">
        <v>7346</v>
      </c>
      <c r="C595" s="17">
        <v>9780071803472</v>
      </c>
      <c r="D595" s="17">
        <v>9780071803472</v>
      </c>
      <c r="E595" s="16" t="s">
        <v>6995</v>
      </c>
      <c r="F595" s="16" t="s">
        <v>17</v>
      </c>
      <c r="G595" s="16" t="s">
        <v>17</v>
      </c>
      <c r="H595" s="16" t="s">
        <v>17</v>
      </c>
      <c r="I595" s="16" t="s">
        <v>17</v>
      </c>
      <c r="J595" s="16" t="s">
        <v>17</v>
      </c>
      <c r="K595" s="16" t="s">
        <v>366</v>
      </c>
      <c r="L595" s="16" t="s">
        <v>17</v>
      </c>
      <c r="M595" s="16" t="s">
        <v>7346</v>
      </c>
      <c r="N595" s="16" t="s">
        <v>17</v>
      </c>
      <c r="O595" s="16" t="s">
        <v>6921</v>
      </c>
      <c r="P595" s="16" t="s">
        <v>17</v>
      </c>
      <c r="Q595" s="16" t="s">
        <v>6922</v>
      </c>
      <c r="R595" s="16" t="s">
        <v>6923</v>
      </c>
      <c r="S595" s="16" t="s">
        <v>17</v>
      </c>
      <c r="T595" s="16" t="s">
        <v>6995</v>
      </c>
      <c r="U595" s="16" t="s">
        <v>17</v>
      </c>
      <c r="V595" s="16" t="s">
        <v>6924</v>
      </c>
      <c r="W595" s="16" t="s">
        <v>17</v>
      </c>
      <c r="X595" s="16" t="s">
        <v>7346</v>
      </c>
      <c r="Y595" s="16" t="s">
        <v>17</v>
      </c>
      <c r="Z595" s="16" t="s">
        <v>6926</v>
      </c>
    </row>
    <row r="596" spans="1:26" x14ac:dyDescent="0.3">
      <c r="A596" s="16">
        <v>595</v>
      </c>
      <c r="B596" s="16" t="s">
        <v>8012</v>
      </c>
      <c r="C596" s="17">
        <v>9781259860973</v>
      </c>
      <c r="D596" s="17">
        <v>9781259860973</v>
      </c>
      <c r="E596" s="16" t="s">
        <v>8013</v>
      </c>
      <c r="F596" s="16" t="s">
        <v>17</v>
      </c>
      <c r="G596" s="16" t="s">
        <v>17</v>
      </c>
      <c r="H596" s="16" t="s">
        <v>17</v>
      </c>
      <c r="I596" s="16" t="s">
        <v>17</v>
      </c>
      <c r="J596" s="16" t="s">
        <v>17</v>
      </c>
      <c r="K596" s="16" t="s">
        <v>1073</v>
      </c>
      <c r="L596" s="16" t="s">
        <v>1072</v>
      </c>
      <c r="M596" s="16" t="s">
        <v>8012</v>
      </c>
      <c r="N596" s="16" t="s">
        <v>17</v>
      </c>
      <c r="O596" s="16" t="s">
        <v>6921</v>
      </c>
      <c r="P596" s="16" t="s">
        <v>17</v>
      </c>
      <c r="Q596" s="16" t="s">
        <v>6922</v>
      </c>
      <c r="R596" s="16" t="s">
        <v>6923</v>
      </c>
      <c r="S596" s="16" t="s">
        <v>17</v>
      </c>
      <c r="T596" s="16" t="s">
        <v>8013</v>
      </c>
      <c r="U596" s="16" t="s">
        <v>17</v>
      </c>
      <c r="V596" s="16" t="s">
        <v>7024</v>
      </c>
      <c r="W596" s="16" t="s">
        <v>17</v>
      </c>
      <c r="X596" s="16" t="s">
        <v>8012</v>
      </c>
      <c r="Y596" s="16" t="s">
        <v>17</v>
      </c>
      <c r="Z596" s="16" t="s">
        <v>6926</v>
      </c>
    </row>
    <row r="597" spans="1:26" x14ac:dyDescent="0.3">
      <c r="A597" s="16">
        <v>596</v>
      </c>
      <c r="B597" s="16" t="s">
        <v>8361</v>
      </c>
      <c r="C597" s="17">
        <v>9780071548830</v>
      </c>
      <c r="D597" s="17">
        <v>9780071548830</v>
      </c>
      <c r="E597" s="16" t="s">
        <v>6920</v>
      </c>
      <c r="F597" s="16" t="s">
        <v>17</v>
      </c>
      <c r="G597" s="16" t="s">
        <v>17</v>
      </c>
      <c r="H597" s="16" t="s">
        <v>17</v>
      </c>
      <c r="I597" s="16" t="s">
        <v>17</v>
      </c>
      <c r="J597" s="16" t="s">
        <v>17</v>
      </c>
      <c r="K597" s="16" t="s">
        <v>1485</v>
      </c>
      <c r="L597" s="16" t="s">
        <v>1484</v>
      </c>
      <c r="M597" s="16" t="s">
        <v>8361</v>
      </c>
      <c r="N597" s="16" t="s">
        <v>17</v>
      </c>
      <c r="O597" s="16" t="s">
        <v>6921</v>
      </c>
      <c r="P597" s="16" t="s">
        <v>17</v>
      </c>
      <c r="Q597" s="16" t="s">
        <v>6922</v>
      </c>
      <c r="R597" s="16" t="s">
        <v>6923</v>
      </c>
      <c r="S597" s="16" t="s">
        <v>17</v>
      </c>
      <c r="T597" s="16" t="s">
        <v>6920</v>
      </c>
      <c r="U597" s="16" t="s">
        <v>17</v>
      </c>
      <c r="V597" s="16" t="s">
        <v>7363</v>
      </c>
      <c r="W597" s="16" t="s">
        <v>17</v>
      </c>
      <c r="X597" s="16" t="s">
        <v>8361</v>
      </c>
      <c r="Y597" s="16" t="s">
        <v>17</v>
      </c>
      <c r="Z597" s="16" t="s">
        <v>6926</v>
      </c>
    </row>
    <row r="598" spans="1:26" x14ac:dyDescent="0.3">
      <c r="A598" s="16">
        <v>597</v>
      </c>
      <c r="B598" s="16" t="s">
        <v>7035</v>
      </c>
      <c r="C598" s="17">
        <v>9780071548298</v>
      </c>
      <c r="D598" s="17">
        <v>9780071548298</v>
      </c>
      <c r="E598" s="16" t="s">
        <v>7036</v>
      </c>
      <c r="F598" s="16" t="s">
        <v>17</v>
      </c>
      <c r="G598" s="16" t="s">
        <v>17</v>
      </c>
      <c r="H598" s="16" t="s">
        <v>17</v>
      </c>
      <c r="I598" s="16" t="s">
        <v>17</v>
      </c>
      <c r="J598" s="16" t="s">
        <v>17</v>
      </c>
      <c r="K598" s="16" t="s">
        <v>101</v>
      </c>
      <c r="L598" s="16" t="s">
        <v>100</v>
      </c>
      <c r="M598" s="16" t="s">
        <v>7035</v>
      </c>
      <c r="N598" s="16" t="s">
        <v>17</v>
      </c>
      <c r="O598" s="16" t="s">
        <v>6921</v>
      </c>
      <c r="P598" s="16" t="s">
        <v>17</v>
      </c>
      <c r="Q598" s="16" t="s">
        <v>6922</v>
      </c>
      <c r="R598" s="16" t="s">
        <v>6923</v>
      </c>
      <c r="S598" s="16" t="s">
        <v>17</v>
      </c>
      <c r="T598" s="16" t="s">
        <v>7036</v>
      </c>
      <c r="U598" s="16" t="s">
        <v>17</v>
      </c>
      <c r="V598" s="16" t="s">
        <v>6929</v>
      </c>
      <c r="W598" s="16" t="s">
        <v>17</v>
      </c>
      <c r="X598" s="16" t="s">
        <v>7035</v>
      </c>
      <c r="Y598" s="16" t="s">
        <v>17</v>
      </c>
      <c r="Z598" s="16" t="s">
        <v>6926</v>
      </c>
    </row>
    <row r="599" spans="1:26" x14ac:dyDescent="0.3">
      <c r="A599" s="16">
        <v>598</v>
      </c>
      <c r="B599" s="16" t="s">
        <v>8383</v>
      </c>
      <c r="C599" s="17">
        <v>9780071737012</v>
      </c>
      <c r="D599" s="17">
        <v>9780071737012</v>
      </c>
      <c r="E599" s="16" t="s">
        <v>6920</v>
      </c>
      <c r="F599" s="16" t="s">
        <v>17</v>
      </c>
      <c r="G599" s="16" t="s">
        <v>17</v>
      </c>
      <c r="H599" s="16" t="s">
        <v>17</v>
      </c>
      <c r="I599" s="16" t="s">
        <v>17</v>
      </c>
      <c r="J599" s="16" t="s">
        <v>17</v>
      </c>
      <c r="K599" s="16" t="s">
        <v>1545</v>
      </c>
      <c r="L599" s="16" t="s">
        <v>17</v>
      </c>
      <c r="M599" s="16" t="s">
        <v>8383</v>
      </c>
      <c r="N599" s="16" t="s">
        <v>17</v>
      </c>
      <c r="O599" s="16" t="s">
        <v>6921</v>
      </c>
      <c r="P599" s="16" t="s">
        <v>17</v>
      </c>
      <c r="Q599" s="16" t="s">
        <v>6922</v>
      </c>
      <c r="R599" s="16" t="s">
        <v>6923</v>
      </c>
      <c r="S599" s="16" t="s">
        <v>17</v>
      </c>
      <c r="T599" s="16" t="s">
        <v>6920</v>
      </c>
      <c r="U599" s="16" t="s">
        <v>17</v>
      </c>
      <c r="V599" s="16" t="s">
        <v>6929</v>
      </c>
      <c r="W599" s="16" t="s">
        <v>656</v>
      </c>
      <c r="X599" s="16" t="s">
        <v>8383</v>
      </c>
      <c r="Y599" s="16" t="s">
        <v>17</v>
      </c>
      <c r="Z599" s="16" t="s">
        <v>6926</v>
      </c>
    </row>
    <row r="600" spans="1:26" x14ac:dyDescent="0.3">
      <c r="A600" s="16">
        <v>599</v>
      </c>
      <c r="B600" s="16" t="s">
        <v>7076</v>
      </c>
      <c r="C600" s="17">
        <v>9780071825719</v>
      </c>
      <c r="D600" s="17">
        <v>9780071825719</v>
      </c>
      <c r="E600" s="16" t="s">
        <v>6976</v>
      </c>
      <c r="F600" s="16" t="s">
        <v>17</v>
      </c>
      <c r="G600" s="16" t="s">
        <v>17</v>
      </c>
      <c r="H600" s="16" t="s">
        <v>17</v>
      </c>
      <c r="I600" s="16" t="s">
        <v>17</v>
      </c>
      <c r="J600" s="16" t="s">
        <v>17</v>
      </c>
      <c r="K600" s="16" t="s">
        <v>138</v>
      </c>
      <c r="L600" s="16" t="s">
        <v>7077</v>
      </c>
      <c r="M600" s="16" t="s">
        <v>7076</v>
      </c>
      <c r="N600" s="16" t="s">
        <v>17</v>
      </c>
      <c r="O600" s="16" t="s">
        <v>6921</v>
      </c>
      <c r="P600" s="16" t="s">
        <v>17</v>
      </c>
      <c r="Q600" s="16" t="s">
        <v>6922</v>
      </c>
      <c r="R600" s="16" t="s">
        <v>6923</v>
      </c>
      <c r="S600" s="16" t="s">
        <v>17</v>
      </c>
      <c r="T600" s="16" t="s">
        <v>6976</v>
      </c>
      <c r="U600" s="16" t="s">
        <v>17</v>
      </c>
      <c r="V600" s="16" t="s">
        <v>6929</v>
      </c>
      <c r="W600" s="16" t="s">
        <v>17</v>
      </c>
      <c r="X600" s="16" t="s">
        <v>7076</v>
      </c>
      <c r="Y600" s="16" t="s">
        <v>17</v>
      </c>
      <c r="Z600" s="16" t="s">
        <v>6926</v>
      </c>
    </row>
    <row r="601" spans="1:26" x14ac:dyDescent="0.3">
      <c r="A601" s="16">
        <v>600</v>
      </c>
      <c r="B601" s="16" t="s">
        <v>989</v>
      </c>
      <c r="C601" s="17">
        <v>9780071635196</v>
      </c>
      <c r="D601" s="17">
        <v>9780071635196</v>
      </c>
      <c r="E601" s="16" t="s">
        <v>6920</v>
      </c>
      <c r="F601" s="16" t="s">
        <v>17</v>
      </c>
      <c r="G601" s="16" t="s">
        <v>17</v>
      </c>
      <c r="H601" s="16" t="s">
        <v>17</v>
      </c>
      <c r="I601" s="16" t="s">
        <v>17</v>
      </c>
      <c r="J601" s="16" t="s">
        <v>17</v>
      </c>
      <c r="K601" s="16" t="s">
        <v>991</v>
      </c>
      <c r="L601" s="16" t="s">
        <v>990</v>
      </c>
      <c r="M601" s="16" t="s">
        <v>989</v>
      </c>
      <c r="N601" s="16" t="s">
        <v>17</v>
      </c>
      <c r="O601" s="16" t="s">
        <v>6921</v>
      </c>
      <c r="P601" s="16" t="s">
        <v>17</v>
      </c>
      <c r="Q601" s="16" t="s">
        <v>6922</v>
      </c>
      <c r="R601" s="16" t="s">
        <v>6923</v>
      </c>
      <c r="S601" s="16" t="s">
        <v>17</v>
      </c>
      <c r="T601" s="16" t="s">
        <v>6920</v>
      </c>
      <c r="U601" s="16" t="s">
        <v>17</v>
      </c>
      <c r="V601" s="16" t="s">
        <v>7049</v>
      </c>
      <c r="W601" s="16" t="s">
        <v>17</v>
      </c>
      <c r="X601" s="16" t="s">
        <v>989</v>
      </c>
      <c r="Y601" s="16" t="s">
        <v>17</v>
      </c>
      <c r="Z601" s="16" t="s">
        <v>6926</v>
      </c>
    </row>
    <row r="602" spans="1:26" x14ac:dyDescent="0.3">
      <c r="A602" s="16">
        <v>601</v>
      </c>
      <c r="B602" s="16" t="s">
        <v>8386</v>
      </c>
      <c r="C602" s="17">
        <v>9780071622950</v>
      </c>
      <c r="D602" s="17">
        <v>9780071622950</v>
      </c>
      <c r="E602" s="16" t="s">
        <v>6920</v>
      </c>
      <c r="F602" s="16" t="s">
        <v>17</v>
      </c>
      <c r="G602" s="16" t="s">
        <v>17</v>
      </c>
      <c r="H602" s="16" t="s">
        <v>17</v>
      </c>
      <c r="I602" s="16" t="s">
        <v>17</v>
      </c>
      <c r="J602" s="16" t="s">
        <v>17</v>
      </c>
      <c r="K602" s="16" t="s">
        <v>1556</v>
      </c>
      <c r="L602" s="16" t="s">
        <v>7616</v>
      </c>
      <c r="M602" s="16" t="s">
        <v>8386</v>
      </c>
      <c r="N602" s="16" t="s">
        <v>17</v>
      </c>
      <c r="O602" s="16" t="s">
        <v>6921</v>
      </c>
      <c r="P602" s="16" t="s">
        <v>17</v>
      </c>
      <c r="Q602" s="16" t="s">
        <v>6922</v>
      </c>
      <c r="R602" s="16" t="s">
        <v>6923</v>
      </c>
      <c r="S602" s="16" t="s">
        <v>17</v>
      </c>
      <c r="T602" s="16" t="s">
        <v>6920</v>
      </c>
      <c r="U602" s="16" t="s">
        <v>17</v>
      </c>
      <c r="V602" s="16" t="s">
        <v>6929</v>
      </c>
      <c r="W602" s="16" t="s">
        <v>17</v>
      </c>
      <c r="X602" s="16" t="s">
        <v>8386</v>
      </c>
      <c r="Y602" s="16" t="s">
        <v>17</v>
      </c>
      <c r="Z602" s="16" t="s">
        <v>6926</v>
      </c>
    </row>
    <row r="603" spans="1:26" x14ac:dyDescent="0.3">
      <c r="A603" s="16">
        <v>602</v>
      </c>
      <c r="B603" s="16" t="s">
        <v>7642</v>
      </c>
      <c r="C603" s="17">
        <v>9780071702799</v>
      </c>
      <c r="D603" s="17">
        <v>9780071702799</v>
      </c>
      <c r="E603" s="16" t="s">
        <v>7571</v>
      </c>
      <c r="F603" s="16" t="s">
        <v>17</v>
      </c>
      <c r="G603" s="16" t="s">
        <v>17</v>
      </c>
      <c r="H603" s="16" t="s">
        <v>17</v>
      </c>
      <c r="I603" s="16" t="s">
        <v>17</v>
      </c>
      <c r="J603" s="16" t="s">
        <v>17</v>
      </c>
      <c r="K603" s="16" t="s">
        <v>635</v>
      </c>
      <c r="L603" s="16" t="s">
        <v>17</v>
      </c>
      <c r="M603" s="16" t="s">
        <v>7642</v>
      </c>
      <c r="N603" s="16" t="s">
        <v>17</v>
      </c>
      <c r="O603" s="16" t="s">
        <v>6921</v>
      </c>
      <c r="P603" s="16" t="s">
        <v>17</v>
      </c>
      <c r="Q603" s="16" t="s">
        <v>6922</v>
      </c>
      <c r="R603" s="16" t="s">
        <v>6923</v>
      </c>
      <c r="S603" s="16" t="s">
        <v>17</v>
      </c>
      <c r="T603" s="16" t="s">
        <v>7571</v>
      </c>
      <c r="U603" s="16" t="s">
        <v>17</v>
      </c>
      <c r="V603" s="16" t="s">
        <v>6929</v>
      </c>
      <c r="W603" s="16" t="s">
        <v>7643</v>
      </c>
      <c r="X603" s="16" t="s">
        <v>7642</v>
      </c>
      <c r="Y603" s="16" t="s">
        <v>17</v>
      </c>
      <c r="Z603" s="16" t="s">
        <v>6926</v>
      </c>
    </row>
    <row r="604" spans="1:26" x14ac:dyDescent="0.3">
      <c r="A604" s="16">
        <v>603</v>
      </c>
      <c r="B604" s="16" t="s">
        <v>7032</v>
      </c>
      <c r="C604" s="17">
        <v>9780071387576</v>
      </c>
      <c r="D604" s="17">
        <v>9780071387576</v>
      </c>
      <c r="E604" s="16" t="s">
        <v>7033</v>
      </c>
      <c r="F604" s="16" t="s">
        <v>17</v>
      </c>
      <c r="G604" s="16" t="s">
        <v>17</v>
      </c>
      <c r="H604" s="16" t="s">
        <v>17</v>
      </c>
      <c r="I604" s="16" t="s">
        <v>17</v>
      </c>
      <c r="J604" s="16" t="s">
        <v>17</v>
      </c>
      <c r="K604" s="16" t="s">
        <v>99</v>
      </c>
      <c r="L604" s="16" t="s">
        <v>7034</v>
      </c>
      <c r="M604" s="16" t="s">
        <v>7032</v>
      </c>
      <c r="N604" s="16" t="s">
        <v>17</v>
      </c>
      <c r="O604" s="16" t="s">
        <v>6921</v>
      </c>
      <c r="P604" s="16" t="s">
        <v>17</v>
      </c>
      <c r="Q604" s="16" t="s">
        <v>6922</v>
      </c>
      <c r="R604" s="16" t="s">
        <v>6923</v>
      </c>
      <c r="S604" s="16" t="s">
        <v>17</v>
      </c>
      <c r="T604" s="16" t="s">
        <v>7033</v>
      </c>
      <c r="U604" s="16" t="s">
        <v>17</v>
      </c>
      <c r="V604" s="16" t="s">
        <v>6929</v>
      </c>
      <c r="W604" s="16" t="s">
        <v>17</v>
      </c>
      <c r="X604" s="16" t="s">
        <v>7032</v>
      </c>
      <c r="Y604" s="16" t="s">
        <v>17</v>
      </c>
      <c r="Z604" s="16" t="s">
        <v>6926</v>
      </c>
    </row>
    <row r="605" spans="1:26" x14ac:dyDescent="0.3">
      <c r="A605" s="16">
        <v>604</v>
      </c>
      <c r="B605" s="16" t="s">
        <v>7908</v>
      </c>
      <c r="C605" s="17">
        <v>9780071743266</v>
      </c>
      <c r="D605" s="17">
        <v>9780071743266</v>
      </c>
      <c r="E605" s="16" t="s">
        <v>7057</v>
      </c>
      <c r="F605" s="16" t="s">
        <v>17</v>
      </c>
      <c r="G605" s="16" t="s">
        <v>17</v>
      </c>
      <c r="H605" s="16" t="s">
        <v>17</v>
      </c>
      <c r="I605" s="16" t="s">
        <v>17</v>
      </c>
      <c r="J605" s="16" t="s">
        <v>17</v>
      </c>
      <c r="K605" s="16" t="s">
        <v>912</v>
      </c>
      <c r="L605" s="16" t="s">
        <v>911</v>
      </c>
      <c r="M605" s="16" t="s">
        <v>7908</v>
      </c>
      <c r="N605" s="16" t="s">
        <v>17</v>
      </c>
      <c r="O605" s="16" t="s">
        <v>6921</v>
      </c>
      <c r="P605" s="16" t="s">
        <v>17</v>
      </c>
      <c r="Q605" s="16" t="s">
        <v>6922</v>
      </c>
      <c r="R605" s="16" t="s">
        <v>6923</v>
      </c>
      <c r="S605" s="16" t="s">
        <v>17</v>
      </c>
      <c r="T605" s="16" t="s">
        <v>7057</v>
      </c>
      <c r="U605" s="16" t="s">
        <v>17</v>
      </c>
      <c r="V605" s="16" t="s">
        <v>6929</v>
      </c>
      <c r="W605" s="16" t="s">
        <v>17</v>
      </c>
      <c r="X605" s="16" t="s">
        <v>7908</v>
      </c>
      <c r="Y605" s="16" t="s">
        <v>17</v>
      </c>
      <c r="Z605" s="16" t="s">
        <v>6926</v>
      </c>
    </row>
    <row r="606" spans="1:26" x14ac:dyDescent="0.3">
      <c r="A606" s="16">
        <v>605</v>
      </c>
      <c r="B606" s="16" t="s">
        <v>8395</v>
      </c>
      <c r="C606" s="17">
        <v>9781259588976</v>
      </c>
      <c r="D606" s="17">
        <v>9781259588976</v>
      </c>
      <c r="E606" s="16" t="s">
        <v>7829</v>
      </c>
      <c r="F606" s="16" t="s">
        <v>17</v>
      </c>
      <c r="G606" s="16" t="s">
        <v>17</v>
      </c>
      <c r="H606" s="16" t="s">
        <v>17</v>
      </c>
      <c r="I606" s="16" t="s">
        <v>17</v>
      </c>
      <c r="J606" s="16" t="s">
        <v>17</v>
      </c>
      <c r="K606" s="16" t="s">
        <v>1593</v>
      </c>
      <c r="L606" s="16" t="s">
        <v>642</v>
      </c>
      <c r="M606" s="16" t="s">
        <v>8395</v>
      </c>
      <c r="N606" s="16" t="s">
        <v>17</v>
      </c>
      <c r="O606" s="16" t="s">
        <v>6921</v>
      </c>
      <c r="P606" s="16" t="s">
        <v>17</v>
      </c>
      <c r="Q606" s="16" t="s">
        <v>6922</v>
      </c>
      <c r="R606" s="16" t="s">
        <v>6923</v>
      </c>
      <c r="S606" s="16" t="s">
        <v>17</v>
      </c>
      <c r="T606" s="16" t="s">
        <v>7829</v>
      </c>
      <c r="U606" s="16" t="s">
        <v>17</v>
      </c>
      <c r="V606" s="16" t="s">
        <v>6929</v>
      </c>
      <c r="W606" s="16" t="s">
        <v>17</v>
      </c>
      <c r="X606" s="16" t="s">
        <v>8395</v>
      </c>
      <c r="Y606" s="16" t="s">
        <v>17</v>
      </c>
      <c r="Z606" s="16" t="s">
        <v>6926</v>
      </c>
    </row>
    <row r="607" spans="1:26" x14ac:dyDescent="0.3">
      <c r="A607" s="16">
        <v>606</v>
      </c>
      <c r="B607" s="16" t="s">
        <v>7324</v>
      </c>
      <c r="C607" s="17">
        <v>9780070707030</v>
      </c>
      <c r="D607" s="17">
        <v>9780070707030</v>
      </c>
      <c r="E607" s="16" t="s">
        <v>6968</v>
      </c>
      <c r="F607" s="16" t="s">
        <v>17</v>
      </c>
      <c r="G607" s="16" t="s">
        <v>17</v>
      </c>
      <c r="H607" s="16" t="s">
        <v>17</v>
      </c>
      <c r="I607" s="16" t="s">
        <v>17</v>
      </c>
      <c r="J607" s="16" t="s">
        <v>17</v>
      </c>
      <c r="K607" s="16" t="s">
        <v>349</v>
      </c>
      <c r="L607" s="16" t="s">
        <v>348</v>
      </c>
      <c r="M607" s="16" t="s">
        <v>7324</v>
      </c>
      <c r="N607" s="16" t="s">
        <v>17</v>
      </c>
      <c r="O607" s="16" t="s">
        <v>6921</v>
      </c>
      <c r="P607" s="16" t="s">
        <v>17</v>
      </c>
      <c r="Q607" s="16" t="s">
        <v>6922</v>
      </c>
      <c r="R607" s="16" t="s">
        <v>6923</v>
      </c>
      <c r="S607" s="16" t="s">
        <v>17</v>
      </c>
      <c r="T607" s="16" t="s">
        <v>6968</v>
      </c>
      <c r="U607" s="16" t="s">
        <v>17</v>
      </c>
      <c r="V607" s="16" t="s">
        <v>6924</v>
      </c>
      <c r="W607" s="16" t="s">
        <v>17</v>
      </c>
      <c r="X607" s="16" t="s">
        <v>7324</v>
      </c>
      <c r="Y607" s="16" t="s">
        <v>17</v>
      </c>
      <c r="Z607" s="16" t="s">
        <v>6926</v>
      </c>
    </row>
    <row r="608" spans="1:26" x14ac:dyDescent="0.3">
      <c r="A608" s="16">
        <v>607</v>
      </c>
      <c r="B608" s="16" t="s">
        <v>7487</v>
      </c>
      <c r="C608" s="17">
        <v>9780070045316</v>
      </c>
      <c r="D608" s="17">
        <v>9780070045316</v>
      </c>
      <c r="E608" s="16" t="s">
        <v>6976</v>
      </c>
      <c r="F608" s="16" t="s">
        <v>17</v>
      </c>
      <c r="G608" s="16" t="s">
        <v>17</v>
      </c>
      <c r="H608" s="16" t="s">
        <v>17</v>
      </c>
      <c r="I608" s="16" t="s">
        <v>17</v>
      </c>
      <c r="J608" s="16" t="s">
        <v>17</v>
      </c>
      <c r="K608" s="16" t="s">
        <v>497</v>
      </c>
      <c r="L608" s="16" t="s">
        <v>496</v>
      </c>
      <c r="M608" s="16" t="s">
        <v>7487</v>
      </c>
      <c r="N608" s="16" t="s">
        <v>17</v>
      </c>
      <c r="O608" s="16" t="s">
        <v>6921</v>
      </c>
      <c r="P608" s="16" t="s">
        <v>17</v>
      </c>
      <c r="Q608" s="16" t="s">
        <v>6922</v>
      </c>
      <c r="R608" s="16" t="s">
        <v>6923</v>
      </c>
      <c r="S608" s="16" t="s">
        <v>17</v>
      </c>
      <c r="T608" s="16" t="s">
        <v>6976</v>
      </c>
      <c r="U608" s="16" t="s">
        <v>17</v>
      </c>
      <c r="V608" s="16" t="s">
        <v>6924</v>
      </c>
      <c r="W608" s="16" t="s">
        <v>17</v>
      </c>
      <c r="X608" s="16" t="s">
        <v>7487</v>
      </c>
      <c r="Y608" s="16" t="s">
        <v>17</v>
      </c>
      <c r="Z608" s="16" t="s">
        <v>6926</v>
      </c>
    </row>
    <row r="609" spans="1:26" x14ac:dyDescent="0.3">
      <c r="A609" s="16">
        <v>608</v>
      </c>
      <c r="B609" s="16" t="s">
        <v>7702</v>
      </c>
      <c r="C609" s="17">
        <v>9780071737098</v>
      </c>
      <c r="D609" s="17">
        <v>9780071737098</v>
      </c>
      <c r="E609" s="16" t="s">
        <v>6920</v>
      </c>
      <c r="F609" s="16" t="s">
        <v>17</v>
      </c>
      <c r="G609" s="16" t="s">
        <v>17</v>
      </c>
      <c r="H609" s="16" t="s">
        <v>17</v>
      </c>
      <c r="I609" s="16" t="s">
        <v>17</v>
      </c>
      <c r="J609" s="16" t="s">
        <v>17</v>
      </c>
      <c r="K609" s="16" t="s">
        <v>691</v>
      </c>
      <c r="L609" s="16" t="s">
        <v>17</v>
      </c>
      <c r="M609" s="16" t="s">
        <v>7702</v>
      </c>
      <c r="N609" s="16" t="s">
        <v>17</v>
      </c>
      <c r="O609" s="16" t="s">
        <v>6921</v>
      </c>
      <c r="P609" s="16" t="s">
        <v>17</v>
      </c>
      <c r="Q609" s="16" t="s">
        <v>6922</v>
      </c>
      <c r="R609" s="16" t="s">
        <v>6923</v>
      </c>
      <c r="S609" s="16" t="s">
        <v>17</v>
      </c>
      <c r="T609" s="16" t="s">
        <v>6920</v>
      </c>
      <c r="U609" s="16" t="s">
        <v>17</v>
      </c>
      <c r="V609" s="16" t="s">
        <v>6929</v>
      </c>
      <c r="W609" s="16" t="s">
        <v>17</v>
      </c>
      <c r="X609" s="16" t="s">
        <v>7702</v>
      </c>
      <c r="Y609" s="16" t="s">
        <v>17</v>
      </c>
      <c r="Z609" s="16" t="s">
        <v>6926</v>
      </c>
    </row>
    <row r="610" spans="1:26" x14ac:dyDescent="0.3">
      <c r="A610" s="16">
        <v>609</v>
      </c>
      <c r="B610" s="16" t="s">
        <v>8097</v>
      </c>
      <c r="C610" s="17">
        <v>9780071772891</v>
      </c>
      <c r="D610" s="17">
        <v>9780071772891</v>
      </c>
      <c r="E610" s="16" t="s">
        <v>7105</v>
      </c>
      <c r="F610" s="16" t="s">
        <v>17</v>
      </c>
      <c r="G610" s="16" t="s">
        <v>17</v>
      </c>
      <c r="H610" s="16" t="s">
        <v>17</v>
      </c>
      <c r="I610" s="16" t="s">
        <v>17</v>
      </c>
      <c r="J610" s="16" t="s">
        <v>17</v>
      </c>
      <c r="K610" s="16" t="s">
        <v>1184</v>
      </c>
      <c r="L610" s="16" t="s">
        <v>8098</v>
      </c>
      <c r="M610" s="16" t="s">
        <v>8097</v>
      </c>
      <c r="N610" s="16" t="s">
        <v>17</v>
      </c>
      <c r="O610" s="16" t="s">
        <v>6921</v>
      </c>
      <c r="P610" s="16" t="s">
        <v>17</v>
      </c>
      <c r="Q610" s="16" t="s">
        <v>6922</v>
      </c>
      <c r="R610" s="16" t="s">
        <v>6923</v>
      </c>
      <c r="S610" s="16" t="s">
        <v>17</v>
      </c>
      <c r="T610" s="16" t="s">
        <v>7105</v>
      </c>
      <c r="U610" s="16" t="s">
        <v>17</v>
      </c>
      <c r="V610" s="16" t="s">
        <v>6929</v>
      </c>
      <c r="W610" s="16" t="s">
        <v>17</v>
      </c>
      <c r="X610" s="16" t="s">
        <v>8097</v>
      </c>
      <c r="Y610" s="16" t="s">
        <v>17</v>
      </c>
      <c r="Z610" s="16" t="s">
        <v>6926</v>
      </c>
    </row>
    <row r="611" spans="1:26" x14ac:dyDescent="0.3">
      <c r="A611" s="16">
        <v>610</v>
      </c>
      <c r="B611" s="16" t="s">
        <v>7949</v>
      </c>
      <c r="C611" s="17">
        <v>9780071837590</v>
      </c>
      <c r="D611" s="17">
        <v>9780071837590</v>
      </c>
      <c r="E611" s="16" t="s">
        <v>7067</v>
      </c>
      <c r="F611" s="16" t="s">
        <v>17</v>
      </c>
      <c r="G611" s="16" t="s">
        <v>17</v>
      </c>
      <c r="H611" s="16" t="s">
        <v>17</v>
      </c>
      <c r="I611" s="16" t="s">
        <v>17</v>
      </c>
      <c r="J611" s="16" t="s">
        <v>17</v>
      </c>
      <c r="K611" s="16" t="s">
        <v>971</v>
      </c>
      <c r="L611" s="16" t="s">
        <v>970</v>
      </c>
      <c r="M611" s="16" t="s">
        <v>7949</v>
      </c>
      <c r="N611" s="16" t="s">
        <v>17</v>
      </c>
      <c r="O611" s="16" t="s">
        <v>6921</v>
      </c>
      <c r="P611" s="16" t="s">
        <v>17</v>
      </c>
      <c r="Q611" s="16" t="s">
        <v>6922</v>
      </c>
      <c r="R611" s="16" t="s">
        <v>6923</v>
      </c>
      <c r="S611" s="16" t="s">
        <v>17</v>
      </c>
      <c r="T611" s="16" t="s">
        <v>7067</v>
      </c>
      <c r="U611" s="16" t="s">
        <v>17</v>
      </c>
      <c r="V611" s="16" t="s">
        <v>6929</v>
      </c>
      <c r="W611" s="16" t="s">
        <v>17</v>
      </c>
      <c r="X611" s="16" t="s">
        <v>7949</v>
      </c>
      <c r="Y611" s="16" t="s">
        <v>17</v>
      </c>
      <c r="Z611" s="16" t="s">
        <v>6926</v>
      </c>
    </row>
    <row r="612" spans="1:26" x14ac:dyDescent="0.3">
      <c r="A612" s="16">
        <v>611</v>
      </c>
      <c r="B612" s="16" t="s">
        <v>8053</v>
      </c>
      <c r="C612" s="17">
        <v>9781259589676</v>
      </c>
      <c r="D612" s="17">
        <v>9781259589676</v>
      </c>
      <c r="E612" s="16" t="s">
        <v>7083</v>
      </c>
      <c r="F612" s="16" t="s">
        <v>17</v>
      </c>
      <c r="G612" s="16" t="s">
        <v>17</v>
      </c>
      <c r="H612" s="16" t="s">
        <v>17</v>
      </c>
      <c r="I612" s="16" t="s">
        <v>17</v>
      </c>
      <c r="J612" s="16" t="s">
        <v>17</v>
      </c>
      <c r="K612" s="16" t="s">
        <v>1130</v>
      </c>
      <c r="L612" s="16" t="s">
        <v>1129</v>
      </c>
      <c r="M612" s="16" t="s">
        <v>8053</v>
      </c>
      <c r="N612" s="16" t="s">
        <v>17</v>
      </c>
      <c r="O612" s="16" t="s">
        <v>6921</v>
      </c>
      <c r="P612" s="16" t="s">
        <v>17</v>
      </c>
      <c r="Q612" s="16" t="s">
        <v>6922</v>
      </c>
      <c r="R612" s="16" t="s">
        <v>6923</v>
      </c>
      <c r="S612" s="16" t="s">
        <v>17</v>
      </c>
      <c r="T612" s="16" t="s">
        <v>7083</v>
      </c>
      <c r="U612" s="16" t="s">
        <v>17</v>
      </c>
      <c r="V612" s="16" t="s">
        <v>6929</v>
      </c>
      <c r="W612" s="16" t="s">
        <v>17</v>
      </c>
      <c r="X612" s="16" t="s">
        <v>8053</v>
      </c>
      <c r="Y612" s="16" t="s">
        <v>17</v>
      </c>
      <c r="Z612" s="16" t="s">
        <v>6926</v>
      </c>
    </row>
    <row r="613" spans="1:26" x14ac:dyDescent="0.3">
      <c r="A613" s="16">
        <v>612</v>
      </c>
      <c r="B613" s="16" t="s">
        <v>1487</v>
      </c>
      <c r="C613" s="17">
        <v>9780071756150</v>
      </c>
      <c r="D613" s="17">
        <v>9780071756150</v>
      </c>
      <c r="E613" s="16" t="s">
        <v>6965</v>
      </c>
      <c r="F613" s="16" t="s">
        <v>17</v>
      </c>
      <c r="G613" s="16" t="s">
        <v>17</v>
      </c>
      <c r="H613" s="16" t="s">
        <v>17</v>
      </c>
      <c r="I613" s="16" t="s">
        <v>17</v>
      </c>
      <c r="J613" s="16" t="s">
        <v>17</v>
      </c>
      <c r="K613" s="16" t="s">
        <v>1488</v>
      </c>
      <c r="L613" s="16" t="s">
        <v>1129</v>
      </c>
      <c r="M613" s="16" t="s">
        <v>1487</v>
      </c>
      <c r="N613" s="16" t="s">
        <v>17</v>
      </c>
      <c r="O613" s="16" t="s">
        <v>6921</v>
      </c>
      <c r="P613" s="16" t="s">
        <v>17</v>
      </c>
      <c r="Q613" s="16" t="s">
        <v>6922</v>
      </c>
      <c r="R613" s="16" t="s">
        <v>6923</v>
      </c>
      <c r="S613" s="16" t="s">
        <v>17</v>
      </c>
      <c r="T613" s="16" t="s">
        <v>6965</v>
      </c>
      <c r="U613" s="16" t="s">
        <v>17</v>
      </c>
      <c r="V613" s="16" t="s">
        <v>7049</v>
      </c>
      <c r="W613" s="16" t="s">
        <v>17</v>
      </c>
      <c r="X613" s="16" t="s">
        <v>1487</v>
      </c>
      <c r="Y613" s="16" t="s">
        <v>17</v>
      </c>
      <c r="Z613" s="16" t="s">
        <v>6926</v>
      </c>
    </row>
    <row r="614" spans="1:26" x14ac:dyDescent="0.3">
      <c r="A614" s="16">
        <v>613</v>
      </c>
      <c r="B614" s="16" t="s">
        <v>7685</v>
      </c>
      <c r="C614" s="17">
        <v>9781260469707</v>
      </c>
      <c r="D614" s="17">
        <v>9781260469707</v>
      </c>
      <c r="E614" s="16" t="s">
        <v>7686</v>
      </c>
      <c r="F614" s="16" t="s">
        <v>17</v>
      </c>
      <c r="G614" s="16" t="s">
        <v>17</v>
      </c>
      <c r="H614" s="16" t="s">
        <v>17</v>
      </c>
      <c r="I614" s="16" t="s">
        <v>17</v>
      </c>
      <c r="J614" s="16" t="s">
        <v>17</v>
      </c>
      <c r="K614" s="16" t="s">
        <v>677</v>
      </c>
      <c r="L614" s="16" t="s">
        <v>7687</v>
      </c>
      <c r="M614" s="16" t="s">
        <v>7685</v>
      </c>
      <c r="N614" s="16" t="s">
        <v>17</v>
      </c>
      <c r="O614" s="16" t="s">
        <v>6921</v>
      </c>
      <c r="P614" s="16" t="s">
        <v>17</v>
      </c>
      <c r="Q614" s="16" t="s">
        <v>6922</v>
      </c>
      <c r="R614" s="16" t="s">
        <v>6923</v>
      </c>
      <c r="S614" s="16" t="s">
        <v>17</v>
      </c>
      <c r="T614" s="16" t="s">
        <v>7686</v>
      </c>
      <c r="U614" s="16" t="s">
        <v>17</v>
      </c>
      <c r="V614" s="16" t="s">
        <v>6949</v>
      </c>
      <c r="W614" s="16" t="s">
        <v>17</v>
      </c>
      <c r="X614" s="16" t="s">
        <v>7685</v>
      </c>
      <c r="Y614" s="16" t="s">
        <v>17</v>
      </c>
      <c r="Z614" s="16" t="s">
        <v>6926</v>
      </c>
    </row>
    <row r="615" spans="1:26" x14ac:dyDescent="0.3">
      <c r="A615" s="16">
        <v>614</v>
      </c>
      <c r="B615" s="16" t="s">
        <v>7960</v>
      </c>
      <c r="C615" s="17">
        <v>9780071543675</v>
      </c>
      <c r="D615" s="17">
        <v>9780071543675</v>
      </c>
      <c r="E615" s="16" t="s">
        <v>6920</v>
      </c>
      <c r="F615" s="16" t="s">
        <v>17</v>
      </c>
      <c r="G615" s="16" t="s">
        <v>17</v>
      </c>
      <c r="H615" s="16" t="s">
        <v>17</v>
      </c>
      <c r="I615" s="16" t="s">
        <v>17</v>
      </c>
      <c r="J615" s="16" t="s">
        <v>17</v>
      </c>
      <c r="K615" s="16" t="s">
        <v>997</v>
      </c>
      <c r="L615" s="16" t="s">
        <v>187</v>
      </c>
      <c r="M615" s="16" t="s">
        <v>7960</v>
      </c>
      <c r="N615" s="16" t="s">
        <v>17</v>
      </c>
      <c r="O615" s="16" t="s">
        <v>6921</v>
      </c>
      <c r="P615" s="16" t="s">
        <v>17</v>
      </c>
      <c r="Q615" s="16" t="s">
        <v>6922</v>
      </c>
      <c r="R615" s="16" t="s">
        <v>6923</v>
      </c>
      <c r="S615" s="16" t="s">
        <v>17</v>
      </c>
      <c r="T615" s="16" t="s">
        <v>6920</v>
      </c>
      <c r="U615" s="16" t="s">
        <v>17</v>
      </c>
      <c r="V615" s="16" t="s">
        <v>7961</v>
      </c>
      <c r="W615" s="16" t="s">
        <v>17</v>
      </c>
      <c r="X615" s="16" t="s">
        <v>7960</v>
      </c>
      <c r="Y615" s="16" t="s">
        <v>17</v>
      </c>
      <c r="Z615" s="16" t="s">
        <v>6926</v>
      </c>
    </row>
    <row r="616" spans="1:26" x14ac:dyDescent="0.3">
      <c r="A616" s="16">
        <v>615</v>
      </c>
      <c r="B616" s="16" t="s">
        <v>7288</v>
      </c>
      <c r="C616" s="17">
        <v>9781259859366</v>
      </c>
      <c r="D616" s="17">
        <v>9781259859366</v>
      </c>
      <c r="E616" s="16" t="s">
        <v>7289</v>
      </c>
      <c r="F616" s="16" t="s">
        <v>17</v>
      </c>
      <c r="G616" s="16" t="s">
        <v>17</v>
      </c>
      <c r="H616" s="16" t="s">
        <v>17</v>
      </c>
      <c r="I616" s="16" t="s">
        <v>17</v>
      </c>
      <c r="J616" s="16" t="s">
        <v>17</v>
      </c>
      <c r="K616" s="16" t="s">
        <v>310</v>
      </c>
      <c r="L616" s="16" t="s">
        <v>17</v>
      </c>
      <c r="M616" s="16" t="s">
        <v>7288</v>
      </c>
      <c r="N616" s="16" t="s">
        <v>17</v>
      </c>
      <c r="O616" s="16" t="s">
        <v>6921</v>
      </c>
      <c r="P616" s="16" t="s">
        <v>17</v>
      </c>
      <c r="Q616" s="16" t="s">
        <v>6922</v>
      </c>
      <c r="R616" s="16" t="s">
        <v>6923</v>
      </c>
      <c r="S616" s="16" t="s">
        <v>17</v>
      </c>
      <c r="T616" s="16" t="s">
        <v>7289</v>
      </c>
      <c r="U616" s="16" t="s">
        <v>17</v>
      </c>
      <c r="V616" s="16" t="s">
        <v>7145</v>
      </c>
      <c r="W616" s="16" t="s">
        <v>17</v>
      </c>
      <c r="X616" s="16" t="s">
        <v>7288</v>
      </c>
      <c r="Y616" s="16" t="s">
        <v>17</v>
      </c>
      <c r="Z616" s="16" t="s">
        <v>6926</v>
      </c>
    </row>
    <row r="617" spans="1:26" x14ac:dyDescent="0.3">
      <c r="A617" s="16">
        <v>616</v>
      </c>
      <c r="B617" s="16" t="s">
        <v>7336</v>
      </c>
      <c r="C617" s="17">
        <v>9781260461831</v>
      </c>
      <c r="D617" s="17">
        <v>9781260461831</v>
      </c>
      <c r="E617" s="16" t="s">
        <v>7337</v>
      </c>
      <c r="F617" s="16" t="s">
        <v>17</v>
      </c>
      <c r="G617" s="16" t="s">
        <v>17</v>
      </c>
      <c r="H617" s="16" t="s">
        <v>17</v>
      </c>
      <c r="I617" s="16" t="s">
        <v>17</v>
      </c>
      <c r="J617" s="16" t="s">
        <v>17</v>
      </c>
      <c r="K617" s="16" t="s">
        <v>360</v>
      </c>
      <c r="L617" s="16" t="s">
        <v>7338</v>
      </c>
      <c r="M617" s="16" t="s">
        <v>7336</v>
      </c>
      <c r="N617" s="16" t="s">
        <v>17</v>
      </c>
      <c r="O617" s="16" t="s">
        <v>6921</v>
      </c>
      <c r="P617" s="16" t="s">
        <v>17</v>
      </c>
      <c r="Q617" s="16" t="s">
        <v>6922</v>
      </c>
      <c r="R617" s="16" t="s">
        <v>6923</v>
      </c>
      <c r="S617" s="16" t="s">
        <v>17</v>
      </c>
      <c r="T617" s="16" t="s">
        <v>7337</v>
      </c>
      <c r="U617" s="16" t="s">
        <v>17</v>
      </c>
      <c r="V617" s="16" t="s">
        <v>6929</v>
      </c>
      <c r="W617" s="16" t="s">
        <v>17</v>
      </c>
      <c r="X617" s="16" t="s">
        <v>7336</v>
      </c>
      <c r="Y617" s="16" t="s">
        <v>17</v>
      </c>
      <c r="Z617" s="16" t="s">
        <v>6926</v>
      </c>
    </row>
    <row r="618" spans="1:26" x14ac:dyDescent="0.3">
      <c r="A618" s="16">
        <v>617</v>
      </c>
      <c r="B618" s="16" t="s">
        <v>1496</v>
      </c>
      <c r="C618" s="17">
        <v>9780071412049</v>
      </c>
      <c r="D618" s="17">
        <v>9780071412049</v>
      </c>
      <c r="E618" s="16" t="s">
        <v>6920</v>
      </c>
      <c r="F618" s="16" t="s">
        <v>17</v>
      </c>
      <c r="G618" s="16" t="s">
        <v>17</v>
      </c>
      <c r="H618" s="16" t="s">
        <v>17</v>
      </c>
      <c r="I618" s="16" t="s">
        <v>17</v>
      </c>
      <c r="J618" s="16" t="s">
        <v>17</v>
      </c>
      <c r="K618" s="16" t="s">
        <v>1498</v>
      </c>
      <c r="L618" s="16" t="s">
        <v>1497</v>
      </c>
      <c r="M618" s="16" t="s">
        <v>1496</v>
      </c>
      <c r="N618" s="16" t="s">
        <v>17</v>
      </c>
      <c r="O618" s="16" t="s">
        <v>6921</v>
      </c>
      <c r="P618" s="16" t="s">
        <v>17</v>
      </c>
      <c r="Q618" s="16" t="s">
        <v>6922</v>
      </c>
      <c r="R618" s="16" t="s">
        <v>6923</v>
      </c>
      <c r="S618" s="16" t="s">
        <v>17</v>
      </c>
      <c r="T618" s="16" t="s">
        <v>6920</v>
      </c>
      <c r="U618" s="16" t="s">
        <v>17</v>
      </c>
      <c r="V618" s="16" t="s">
        <v>7049</v>
      </c>
      <c r="W618" s="16" t="s">
        <v>17</v>
      </c>
      <c r="X618" s="16" t="s">
        <v>1496</v>
      </c>
      <c r="Y618" s="16" t="s">
        <v>17</v>
      </c>
      <c r="Z618" s="16" t="s">
        <v>6926</v>
      </c>
    </row>
    <row r="619" spans="1:26" x14ac:dyDescent="0.3">
      <c r="A619" s="16">
        <v>618</v>
      </c>
      <c r="B619" s="16" t="s">
        <v>859</v>
      </c>
      <c r="C619" s="17">
        <v>9780071387781</v>
      </c>
      <c r="D619" s="17">
        <v>9780071387781</v>
      </c>
      <c r="E619" s="16" t="s">
        <v>6920</v>
      </c>
      <c r="F619" s="16" t="s">
        <v>17</v>
      </c>
      <c r="G619" s="16" t="s">
        <v>17</v>
      </c>
      <c r="H619" s="16" t="s">
        <v>17</v>
      </c>
      <c r="I619" s="16" t="s">
        <v>17</v>
      </c>
      <c r="J619" s="16" t="s">
        <v>17</v>
      </c>
      <c r="K619" s="16" t="s">
        <v>861</v>
      </c>
      <c r="L619" s="16" t="s">
        <v>860</v>
      </c>
      <c r="M619" s="16" t="s">
        <v>859</v>
      </c>
      <c r="N619" s="16" t="s">
        <v>17</v>
      </c>
      <c r="O619" s="16" t="s">
        <v>6921</v>
      </c>
      <c r="P619" s="16" t="s">
        <v>17</v>
      </c>
      <c r="Q619" s="16" t="s">
        <v>6922</v>
      </c>
      <c r="R619" s="16" t="s">
        <v>6923</v>
      </c>
      <c r="S619" s="16" t="s">
        <v>17</v>
      </c>
      <c r="T619" s="16" t="s">
        <v>6920</v>
      </c>
      <c r="U619" s="16" t="s">
        <v>17</v>
      </c>
      <c r="V619" s="16" t="s">
        <v>7049</v>
      </c>
      <c r="W619" s="16" t="s">
        <v>17</v>
      </c>
      <c r="X619" s="16" t="s">
        <v>859</v>
      </c>
      <c r="Y619" s="16" t="s">
        <v>17</v>
      </c>
      <c r="Z619" s="16" t="s">
        <v>6926</v>
      </c>
    </row>
    <row r="620" spans="1:26" x14ac:dyDescent="0.3">
      <c r="A620" s="16">
        <v>619</v>
      </c>
      <c r="B620" s="16" t="s">
        <v>7766</v>
      </c>
      <c r="C620" s="17">
        <v>9780071472487</v>
      </c>
      <c r="D620" s="17">
        <v>9780071472487</v>
      </c>
      <c r="E620" s="16" t="s">
        <v>6920</v>
      </c>
      <c r="F620" s="16" t="s">
        <v>17</v>
      </c>
      <c r="G620" s="16" t="s">
        <v>17</v>
      </c>
      <c r="H620" s="16" t="s">
        <v>17</v>
      </c>
      <c r="I620" s="16" t="s">
        <v>17</v>
      </c>
      <c r="J620" s="16" t="s">
        <v>17</v>
      </c>
      <c r="K620" s="16" t="s">
        <v>746</v>
      </c>
      <c r="L620" s="16" t="s">
        <v>745</v>
      </c>
      <c r="M620" s="16" t="s">
        <v>7766</v>
      </c>
      <c r="N620" s="16" t="s">
        <v>17</v>
      </c>
      <c r="O620" s="16" t="s">
        <v>6921</v>
      </c>
      <c r="P620" s="16" t="s">
        <v>17</v>
      </c>
      <c r="Q620" s="16" t="s">
        <v>6922</v>
      </c>
      <c r="R620" s="16" t="s">
        <v>6923</v>
      </c>
      <c r="S620" s="16" t="s">
        <v>17</v>
      </c>
      <c r="T620" s="16" t="s">
        <v>6920</v>
      </c>
      <c r="U620" s="16" t="s">
        <v>17</v>
      </c>
      <c r="V620" s="16" t="s">
        <v>6924</v>
      </c>
      <c r="W620" s="16" t="s">
        <v>17</v>
      </c>
      <c r="X620" s="16" t="s">
        <v>7766</v>
      </c>
      <c r="Y620" s="16" t="s">
        <v>17</v>
      </c>
      <c r="Z620" s="16" t="s">
        <v>6926</v>
      </c>
    </row>
    <row r="621" spans="1:26" x14ac:dyDescent="0.3">
      <c r="A621" s="16">
        <v>620</v>
      </c>
      <c r="B621" s="16" t="s">
        <v>8142</v>
      </c>
      <c r="C621" s="17">
        <v>9780071754408</v>
      </c>
      <c r="D621" s="17">
        <v>9780071754408</v>
      </c>
      <c r="E621" s="16" t="s">
        <v>7459</v>
      </c>
      <c r="F621" s="16" t="s">
        <v>17</v>
      </c>
      <c r="G621" s="16" t="s">
        <v>17</v>
      </c>
      <c r="H621" s="16" t="s">
        <v>17</v>
      </c>
      <c r="I621" s="16" t="s">
        <v>17</v>
      </c>
      <c r="J621" s="16" t="s">
        <v>17</v>
      </c>
      <c r="K621" s="16" t="s">
        <v>1233</v>
      </c>
      <c r="L621" s="16" t="s">
        <v>8143</v>
      </c>
      <c r="M621" s="16" t="s">
        <v>8142</v>
      </c>
      <c r="N621" s="16" t="s">
        <v>17</v>
      </c>
      <c r="O621" s="16" t="s">
        <v>6921</v>
      </c>
      <c r="P621" s="16" t="s">
        <v>17</v>
      </c>
      <c r="Q621" s="16" t="s">
        <v>6922</v>
      </c>
      <c r="R621" s="16" t="s">
        <v>6923</v>
      </c>
      <c r="S621" s="16" t="s">
        <v>17</v>
      </c>
      <c r="T621" s="16" t="s">
        <v>7459</v>
      </c>
      <c r="U621" s="16" t="s">
        <v>17</v>
      </c>
      <c r="V621" s="16" t="s">
        <v>6929</v>
      </c>
      <c r="W621" s="16" t="s">
        <v>17</v>
      </c>
      <c r="X621" s="16" t="s">
        <v>8142</v>
      </c>
      <c r="Y621" s="16" t="s">
        <v>17</v>
      </c>
      <c r="Z621" s="16" t="s">
        <v>6926</v>
      </c>
    </row>
    <row r="622" spans="1:26" x14ac:dyDescent="0.3">
      <c r="A622" s="16">
        <v>621</v>
      </c>
      <c r="B622" s="16" t="s">
        <v>8369</v>
      </c>
      <c r="C622" s="17">
        <v>9780071622967</v>
      </c>
      <c r="D622" s="17">
        <v>9780071622967</v>
      </c>
      <c r="E622" s="16" t="s">
        <v>6920</v>
      </c>
      <c r="F622" s="16" t="s">
        <v>17</v>
      </c>
      <c r="G622" s="16" t="s">
        <v>17</v>
      </c>
      <c r="H622" s="16" t="s">
        <v>17</v>
      </c>
      <c r="I622" s="16" t="s">
        <v>17</v>
      </c>
      <c r="J622" s="16" t="s">
        <v>17</v>
      </c>
      <c r="K622" s="16" t="s">
        <v>1518</v>
      </c>
      <c r="L622" s="16" t="s">
        <v>8370</v>
      </c>
      <c r="M622" s="16" t="s">
        <v>8369</v>
      </c>
      <c r="N622" s="16" t="s">
        <v>17</v>
      </c>
      <c r="O622" s="16" t="s">
        <v>6921</v>
      </c>
      <c r="P622" s="16" t="s">
        <v>17</v>
      </c>
      <c r="Q622" s="16" t="s">
        <v>6922</v>
      </c>
      <c r="R622" s="16" t="s">
        <v>6923</v>
      </c>
      <c r="S622" s="16" t="s">
        <v>17</v>
      </c>
      <c r="T622" s="16" t="s">
        <v>6920</v>
      </c>
      <c r="U622" s="16" t="s">
        <v>17</v>
      </c>
      <c r="V622" s="16" t="s">
        <v>6929</v>
      </c>
      <c r="W622" s="16" t="s">
        <v>17</v>
      </c>
      <c r="X622" s="16" t="s">
        <v>8369</v>
      </c>
      <c r="Y622" s="16" t="s">
        <v>17</v>
      </c>
      <c r="Z622" s="16" t="s">
        <v>6926</v>
      </c>
    </row>
    <row r="623" spans="1:26" x14ac:dyDescent="0.3">
      <c r="A623" s="16">
        <v>622</v>
      </c>
      <c r="B623" s="16" t="s">
        <v>8034</v>
      </c>
      <c r="C623" s="17">
        <v>9780071601566</v>
      </c>
      <c r="D623" s="17">
        <v>9780071601566</v>
      </c>
      <c r="E623" s="16" t="s">
        <v>6920</v>
      </c>
      <c r="F623" s="16" t="s">
        <v>17</v>
      </c>
      <c r="G623" s="16" t="s">
        <v>17</v>
      </c>
      <c r="H623" s="16" t="s">
        <v>17</v>
      </c>
      <c r="I623" s="16" t="s">
        <v>17</v>
      </c>
      <c r="J623" s="16" t="s">
        <v>17</v>
      </c>
      <c r="K623" s="16" t="s">
        <v>1099</v>
      </c>
      <c r="L623" s="16" t="s">
        <v>17</v>
      </c>
      <c r="M623" s="16" t="s">
        <v>8034</v>
      </c>
      <c r="N623" s="16" t="s">
        <v>17</v>
      </c>
      <c r="O623" s="16" t="s">
        <v>6921</v>
      </c>
      <c r="P623" s="16" t="s">
        <v>17</v>
      </c>
      <c r="Q623" s="16" t="s">
        <v>6922</v>
      </c>
      <c r="R623" s="16" t="s">
        <v>6923</v>
      </c>
      <c r="S623" s="16" t="s">
        <v>17</v>
      </c>
      <c r="T623" s="16" t="s">
        <v>6920</v>
      </c>
      <c r="U623" s="16" t="s">
        <v>17</v>
      </c>
      <c r="V623" s="16" t="s">
        <v>6929</v>
      </c>
      <c r="W623" s="16" t="s">
        <v>1098</v>
      </c>
      <c r="X623" s="16" t="s">
        <v>8034</v>
      </c>
      <c r="Y623" s="16" t="s">
        <v>17</v>
      </c>
      <c r="Z623" s="16" t="s">
        <v>6926</v>
      </c>
    </row>
    <row r="624" spans="1:26" x14ac:dyDescent="0.3">
      <c r="A624" s="16">
        <v>623</v>
      </c>
      <c r="B624" s="16" t="s">
        <v>7962</v>
      </c>
      <c r="C624" s="17">
        <v>9780071767972</v>
      </c>
      <c r="D624" s="17">
        <v>9780071767972</v>
      </c>
      <c r="E624" s="16" t="s">
        <v>7623</v>
      </c>
      <c r="F624" s="16" t="s">
        <v>17</v>
      </c>
      <c r="G624" s="16" t="s">
        <v>17</v>
      </c>
      <c r="H624" s="16" t="s">
        <v>17</v>
      </c>
      <c r="I624" s="16" t="s">
        <v>17</v>
      </c>
      <c r="J624" s="16" t="s">
        <v>17</v>
      </c>
      <c r="K624" s="16" t="s">
        <v>998</v>
      </c>
      <c r="L624" s="16" t="s">
        <v>7963</v>
      </c>
      <c r="M624" s="16" t="s">
        <v>7962</v>
      </c>
      <c r="N624" s="16" t="s">
        <v>17</v>
      </c>
      <c r="O624" s="16" t="s">
        <v>6921</v>
      </c>
      <c r="P624" s="16" t="s">
        <v>17</v>
      </c>
      <c r="Q624" s="16" t="s">
        <v>6922</v>
      </c>
      <c r="R624" s="16" t="s">
        <v>6923</v>
      </c>
      <c r="S624" s="16" t="s">
        <v>17</v>
      </c>
      <c r="T624" s="16" t="s">
        <v>7623</v>
      </c>
      <c r="U624" s="16" t="s">
        <v>17</v>
      </c>
      <c r="V624" s="16" t="s">
        <v>6924</v>
      </c>
      <c r="W624" s="16" t="s">
        <v>17</v>
      </c>
      <c r="X624" s="16" t="s">
        <v>7962</v>
      </c>
      <c r="Y624" s="16" t="s">
        <v>17</v>
      </c>
      <c r="Z624" s="16" t="s">
        <v>6926</v>
      </c>
    </row>
    <row r="625" spans="1:26" x14ac:dyDescent="0.3">
      <c r="A625" s="16">
        <v>624</v>
      </c>
      <c r="B625" s="16" t="s">
        <v>111</v>
      </c>
      <c r="C625" s="17">
        <v>9780071596756</v>
      </c>
      <c r="D625" s="17">
        <v>9780071596756</v>
      </c>
      <c r="E625" s="16" t="s">
        <v>6920</v>
      </c>
      <c r="F625" s="16" t="s">
        <v>17</v>
      </c>
      <c r="G625" s="16" t="s">
        <v>17</v>
      </c>
      <c r="H625" s="16" t="s">
        <v>17</v>
      </c>
      <c r="I625" s="16" t="s">
        <v>17</v>
      </c>
      <c r="J625" s="16" t="s">
        <v>17</v>
      </c>
      <c r="K625" s="16" t="s">
        <v>113</v>
      </c>
      <c r="L625" s="16" t="s">
        <v>112</v>
      </c>
      <c r="M625" s="16" t="s">
        <v>111</v>
      </c>
      <c r="N625" s="16" t="s">
        <v>17</v>
      </c>
      <c r="O625" s="16" t="s">
        <v>6921</v>
      </c>
      <c r="P625" s="16" t="s">
        <v>17</v>
      </c>
      <c r="Q625" s="16" t="s">
        <v>6922</v>
      </c>
      <c r="R625" s="16" t="s">
        <v>6923</v>
      </c>
      <c r="S625" s="16" t="s">
        <v>17</v>
      </c>
      <c r="T625" s="16" t="s">
        <v>6920</v>
      </c>
      <c r="U625" s="16" t="s">
        <v>17</v>
      </c>
      <c r="V625" s="16" t="s">
        <v>7049</v>
      </c>
      <c r="W625" s="16" t="s">
        <v>17</v>
      </c>
      <c r="X625" s="16" t="s">
        <v>111</v>
      </c>
      <c r="Y625" s="16" t="s">
        <v>17</v>
      </c>
      <c r="Z625" s="16" t="s">
        <v>6926</v>
      </c>
    </row>
    <row r="626" spans="1:26" x14ac:dyDescent="0.3">
      <c r="A626" s="16">
        <v>625</v>
      </c>
      <c r="B626" s="16" t="s">
        <v>7656</v>
      </c>
      <c r="C626" s="17">
        <v>9781264264575</v>
      </c>
      <c r="D626" s="17">
        <v>9781264264575</v>
      </c>
      <c r="E626" s="16" t="s">
        <v>7657</v>
      </c>
      <c r="F626" s="16" t="s">
        <v>17</v>
      </c>
      <c r="G626" s="16" t="s">
        <v>17</v>
      </c>
      <c r="H626" s="16" t="s">
        <v>17</v>
      </c>
      <c r="I626" s="16" t="s">
        <v>17</v>
      </c>
      <c r="J626" s="16" t="s">
        <v>17</v>
      </c>
      <c r="K626" s="16" t="s">
        <v>645</v>
      </c>
      <c r="L626" s="16" t="s">
        <v>644</v>
      </c>
      <c r="M626" s="16" t="s">
        <v>7656</v>
      </c>
      <c r="N626" s="16" t="s">
        <v>17</v>
      </c>
      <c r="O626" s="16" t="s">
        <v>6921</v>
      </c>
      <c r="P626" s="16" t="s">
        <v>17</v>
      </c>
      <c r="Q626" s="16" t="s">
        <v>6922</v>
      </c>
      <c r="R626" s="16" t="s">
        <v>6923</v>
      </c>
      <c r="S626" s="16" t="s">
        <v>17</v>
      </c>
      <c r="T626" s="16" t="s">
        <v>7657</v>
      </c>
      <c r="U626" s="16" t="s">
        <v>17</v>
      </c>
      <c r="V626" s="16" t="s">
        <v>7024</v>
      </c>
      <c r="W626" s="16" t="s">
        <v>17</v>
      </c>
      <c r="X626" s="16" t="s">
        <v>7656</v>
      </c>
      <c r="Y626" s="16" t="s">
        <v>17</v>
      </c>
      <c r="Z626" s="16" t="s">
        <v>6926</v>
      </c>
    </row>
    <row r="627" spans="1:26" x14ac:dyDescent="0.3">
      <c r="A627" s="16">
        <v>626</v>
      </c>
      <c r="B627" s="16" t="s">
        <v>7656</v>
      </c>
      <c r="C627" s="17">
        <v>9780071755634</v>
      </c>
      <c r="D627" s="17">
        <v>9780071755634</v>
      </c>
      <c r="E627" s="16" t="s">
        <v>7299</v>
      </c>
      <c r="F627" s="16" t="s">
        <v>17</v>
      </c>
      <c r="G627" s="16" t="s">
        <v>17</v>
      </c>
      <c r="H627" s="16" t="s">
        <v>17</v>
      </c>
      <c r="I627" s="16" t="s">
        <v>17</v>
      </c>
      <c r="J627" s="16" t="s">
        <v>17</v>
      </c>
      <c r="K627" s="16" t="s">
        <v>1151</v>
      </c>
      <c r="L627" s="16" t="s">
        <v>644</v>
      </c>
      <c r="M627" s="16" t="s">
        <v>7656</v>
      </c>
      <c r="N627" s="16" t="s">
        <v>17</v>
      </c>
      <c r="O627" s="16" t="s">
        <v>6921</v>
      </c>
      <c r="P627" s="16" t="s">
        <v>17</v>
      </c>
      <c r="Q627" s="16" t="s">
        <v>6922</v>
      </c>
      <c r="R627" s="16" t="s">
        <v>6923</v>
      </c>
      <c r="S627" s="16" t="s">
        <v>17</v>
      </c>
      <c r="T627" s="16" t="s">
        <v>7299</v>
      </c>
      <c r="U627" s="16" t="s">
        <v>17</v>
      </c>
      <c r="V627" s="16" t="s">
        <v>6949</v>
      </c>
      <c r="W627" s="16" t="s">
        <v>17</v>
      </c>
      <c r="X627" s="16" t="s">
        <v>7656</v>
      </c>
      <c r="Y627" s="16" t="s">
        <v>17</v>
      </c>
      <c r="Z627" s="16" t="s">
        <v>6926</v>
      </c>
    </row>
    <row r="628" spans="1:26" x14ac:dyDescent="0.3">
      <c r="A628" s="16">
        <v>627</v>
      </c>
      <c r="B628" s="16" t="s">
        <v>7920</v>
      </c>
      <c r="C628" s="17">
        <v>9781260458916</v>
      </c>
      <c r="D628" s="17">
        <v>9781260458916</v>
      </c>
      <c r="E628" s="16" t="s">
        <v>7921</v>
      </c>
      <c r="F628" s="16" t="s">
        <v>17</v>
      </c>
      <c r="G628" s="16" t="s">
        <v>17</v>
      </c>
      <c r="H628" s="16" t="s">
        <v>17</v>
      </c>
      <c r="I628" s="16" t="s">
        <v>17</v>
      </c>
      <c r="J628" s="16" t="s">
        <v>17</v>
      </c>
      <c r="K628" s="16" t="s">
        <v>935</v>
      </c>
      <c r="L628" s="16" t="s">
        <v>7922</v>
      </c>
      <c r="M628" s="16" t="s">
        <v>7920</v>
      </c>
      <c r="N628" s="16" t="s">
        <v>17</v>
      </c>
      <c r="O628" s="16" t="s">
        <v>6921</v>
      </c>
      <c r="P628" s="16" t="s">
        <v>17</v>
      </c>
      <c r="Q628" s="16" t="s">
        <v>6922</v>
      </c>
      <c r="R628" s="16" t="s">
        <v>6923</v>
      </c>
      <c r="S628" s="16" t="s">
        <v>17</v>
      </c>
      <c r="T628" s="16" t="s">
        <v>7921</v>
      </c>
      <c r="U628" s="16" t="s">
        <v>17</v>
      </c>
      <c r="V628" s="16" t="s">
        <v>6929</v>
      </c>
      <c r="W628" s="16" t="s">
        <v>17</v>
      </c>
      <c r="X628" s="16" t="s">
        <v>7920</v>
      </c>
      <c r="Y628" s="16" t="s">
        <v>17</v>
      </c>
      <c r="Z628" s="16" t="s">
        <v>6926</v>
      </c>
    </row>
    <row r="629" spans="1:26" x14ac:dyDescent="0.3">
      <c r="A629" s="16">
        <v>628</v>
      </c>
      <c r="B629" s="16" t="s">
        <v>7453</v>
      </c>
      <c r="C629" s="17">
        <v>9780071809511</v>
      </c>
      <c r="D629" s="17">
        <v>9780071809511</v>
      </c>
      <c r="E629" s="16" t="s">
        <v>7057</v>
      </c>
      <c r="F629" s="16" t="s">
        <v>17</v>
      </c>
      <c r="G629" s="16" t="s">
        <v>17</v>
      </c>
      <c r="H629" s="16" t="s">
        <v>17</v>
      </c>
      <c r="I629" s="16" t="s">
        <v>17</v>
      </c>
      <c r="J629" s="16" t="s">
        <v>17</v>
      </c>
      <c r="K629" s="16" t="s">
        <v>464</v>
      </c>
      <c r="L629" s="16" t="s">
        <v>463</v>
      </c>
      <c r="M629" s="16" t="s">
        <v>7453</v>
      </c>
      <c r="N629" s="16" t="s">
        <v>17</v>
      </c>
      <c r="O629" s="16" t="s">
        <v>6921</v>
      </c>
      <c r="P629" s="16" t="s">
        <v>17</v>
      </c>
      <c r="Q629" s="16" t="s">
        <v>6922</v>
      </c>
      <c r="R629" s="16" t="s">
        <v>6923</v>
      </c>
      <c r="S629" s="16" t="s">
        <v>17</v>
      </c>
      <c r="T629" s="16" t="s">
        <v>7057</v>
      </c>
      <c r="U629" s="16" t="s">
        <v>17</v>
      </c>
      <c r="V629" s="16" t="s">
        <v>6929</v>
      </c>
      <c r="W629" s="16" t="s">
        <v>17</v>
      </c>
      <c r="X629" s="16" t="s">
        <v>7453</v>
      </c>
      <c r="Y629" s="16" t="s">
        <v>17</v>
      </c>
      <c r="Z629" s="16" t="s">
        <v>6926</v>
      </c>
    </row>
    <row r="630" spans="1:26" x14ac:dyDescent="0.3">
      <c r="A630" s="16">
        <v>629</v>
      </c>
      <c r="B630" s="16" t="s">
        <v>7811</v>
      </c>
      <c r="C630" s="17">
        <v>9780071742313</v>
      </c>
      <c r="D630" s="17">
        <v>9780071742313</v>
      </c>
      <c r="E630" s="16" t="s">
        <v>7057</v>
      </c>
      <c r="F630" s="16" t="s">
        <v>17</v>
      </c>
      <c r="G630" s="16" t="s">
        <v>17</v>
      </c>
      <c r="H630" s="16" t="s">
        <v>17</v>
      </c>
      <c r="I630" s="16" t="s">
        <v>17</v>
      </c>
      <c r="J630" s="16" t="s">
        <v>17</v>
      </c>
      <c r="K630" s="16" t="s">
        <v>785</v>
      </c>
      <c r="L630" s="16" t="s">
        <v>784</v>
      </c>
      <c r="M630" s="16" t="s">
        <v>7811</v>
      </c>
      <c r="N630" s="16" t="s">
        <v>17</v>
      </c>
      <c r="O630" s="16" t="s">
        <v>6921</v>
      </c>
      <c r="P630" s="16" t="s">
        <v>17</v>
      </c>
      <c r="Q630" s="16" t="s">
        <v>6922</v>
      </c>
      <c r="R630" s="16" t="s">
        <v>6923</v>
      </c>
      <c r="S630" s="16" t="s">
        <v>17</v>
      </c>
      <c r="T630" s="16" t="s">
        <v>7057</v>
      </c>
      <c r="U630" s="16" t="s">
        <v>17</v>
      </c>
      <c r="V630" s="16" t="s">
        <v>6924</v>
      </c>
      <c r="W630" s="16" t="s">
        <v>17</v>
      </c>
      <c r="X630" s="16" t="s">
        <v>7811</v>
      </c>
      <c r="Y630" s="16" t="s">
        <v>17</v>
      </c>
      <c r="Z630" s="16" t="s">
        <v>6926</v>
      </c>
    </row>
    <row r="631" spans="1:26" x14ac:dyDescent="0.3">
      <c r="A631" s="16">
        <v>630</v>
      </c>
      <c r="B631" s="16" t="s">
        <v>7348</v>
      </c>
      <c r="C631" s="17">
        <v>9780071745079</v>
      </c>
      <c r="D631" s="17">
        <v>9780071745079</v>
      </c>
      <c r="E631" s="16" t="s">
        <v>7057</v>
      </c>
      <c r="F631" s="16" t="s">
        <v>17</v>
      </c>
      <c r="G631" s="16" t="s">
        <v>17</v>
      </c>
      <c r="H631" s="16" t="s">
        <v>17</v>
      </c>
      <c r="I631" s="16" t="s">
        <v>17</v>
      </c>
      <c r="J631" s="16" t="s">
        <v>17</v>
      </c>
      <c r="K631" s="16" t="s">
        <v>370</v>
      </c>
      <c r="L631" s="16" t="s">
        <v>369</v>
      </c>
      <c r="M631" s="16" t="s">
        <v>7348</v>
      </c>
      <c r="N631" s="16" t="s">
        <v>17</v>
      </c>
      <c r="O631" s="16" t="s">
        <v>6921</v>
      </c>
      <c r="P631" s="16" t="s">
        <v>17</v>
      </c>
      <c r="Q631" s="16" t="s">
        <v>6922</v>
      </c>
      <c r="R631" s="16" t="s">
        <v>6923</v>
      </c>
      <c r="S631" s="16" t="s">
        <v>17</v>
      </c>
      <c r="T631" s="16" t="s">
        <v>7057</v>
      </c>
      <c r="U631" s="16" t="s">
        <v>17</v>
      </c>
      <c r="V631" s="16" t="s">
        <v>6924</v>
      </c>
      <c r="W631" s="16" t="s">
        <v>17</v>
      </c>
      <c r="X631" s="16" t="s">
        <v>7348</v>
      </c>
      <c r="Y631" s="16" t="s">
        <v>17</v>
      </c>
      <c r="Z631" s="16" t="s">
        <v>6926</v>
      </c>
    </row>
    <row r="632" spans="1:26" x14ac:dyDescent="0.3">
      <c r="A632" s="16">
        <v>631</v>
      </c>
      <c r="B632" s="16" t="s">
        <v>8133</v>
      </c>
      <c r="C632" s="17">
        <v>9781260460353</v>
      </c>
      <c r="D632" s="17">
        <v>9781260460353</v>
      </c>
      <c r="E632" s="16" t="s">
        <v>7538</v>
      </c>
      <c r="F632" s="16" t="s">
        <v>17</v>
      </c>
      <c r="G632" s="16" t="s">
        <v>17</v>
      </c>
      <c r="H632" s="16" t="s">
        <v>17</v>
      </c>
      <c r="I632" s="16" t="s">
        <v>17</v>
      </c>
      <c r="J632" s="16" t="s">
        <v>17</v>
      </c>
      <c r="K632" s="16" t="s">
        <v>1224</v>
      </c>
      <c r="L632" s="16" t="s">
        <v>1223</v>
      </c>
      <c r="M632" s="16" t="s">
        <v>8133</v>
      </c>
      <c r="N632" s="16" t="s">
        <v>17</v>
      </c>
      <c r="O632" s="16" t="s">
        <v>6921</v>
      </c>
      <c r="P632" s="16" t="s">
        <v>17</v>
      </c>
      <c r="Q632" s="16" t="s">
        <v>6922</v>
      </c>
      <c r="R632" s="16" t="s">
        <v>6923</v>
      </c>
      <c r="S632" s="16" t="s">
        <v>17</v>
      </c>
      <c r="T632" s="16" t="s">
        <v>7538</v>
      </c>
      <c r="U632" s="16" t="s">
        <v>17</v>
      </c>
      <c r="V632" s="16" t="s">
        <v>6929</v>
      </c>
      <c r="W632" s="16" t="s">
        <v>17</v>
      </c>
      <c r="X632" s="16" t="s">
        <v>8133</v>
      </c>
      <c r="Y632" s="16" t="s">
        <v>17</v>
      </c>
      <c r="Z632" s="16" t="s">
        <v>6926</v>
      </c>
    </row>
    <row r="633" spans="1:26" x14ac:dyDescent="0.3">
      <c r="A633" s="16">
        <v>632</v>
      </c>
      <c r="B633" s="16" t="s">
        <v>7884</v>
      </c>
      <c r="C633" s="17">
        <v>9780071834087</v>
      </c>
      <c r="D633" s="17">
        <v>9780071834087</v>
      </c>
      <c r="E633" s="16" t="s">
        <v>7885</v>
      </c>
      <c r="F633" s="16" t="s">
        <v>17</v>
      </c>
      <c r="G633" s="16" t="s">
        <v>17</v>
      </c>
      <c r="H633" s="16" t="s">
        <v>17</v>
      </c>
      <c r="I633" s="16" t="s">
        <v>17</v>
      </c>
      <c r="J633" s="16" t="s">
        <v>17</v>
      </c>
      <c r="K633" s="16" t="s">
        <v>885</v>
      </c>
      <c r="L633" s="16" t="s">
        <v>17</v>
      </c>
      <c r="M633" s="16" t="s">
        <v>7884</v>
      </c>
      <c r="N633" s="16" t="s">
        <v>17</v>
      </c>
      <c r="O633" s="16" t="s">
        <v>6921</v>
      </c>
      <c r="P633" s="16" t="s">
        <v>17</v>
      </c>
      <c r="Q633" s="16" t="s">
        <v>6922</v>
      </c>
      <c r="R633" s="16" t="s">
        <v>6923</v>
      </c>
      <c r="S633" s="16" t="s">
        <v>17</v>
      </c>
      <c r="T633" s="16" t="s">
        <v>7885</v>
      </c>
      <c r="U633" s="16" t="s">
        <v>17</v>
      </c>
      <c r="V633" s="16" t="s">
        <v>7359</v>
      </c>
      <c r="W633" s="16" t="s">
        <v>7886</v>
      </c>
      <c r="X633" s="16" t="s">
        <v>7884</v>
      </c>
      <c r="Y633" s="16" t="s">
        <v>17</v>
      </c>
      <c r="Z633" s="16" t="s">
        <v>6926</v>
      </c>
    </row>
    <row r="634" spans="1:26" x14ac:dyDescent="0.3">
      <c r="A634" s="16">
        <v>633</v>
      </c>
      <c r="B634" s="16" t="s">
        <v>1397</v>
      </c>
      <c r="C634" s="17">
        <v>9780071422949</v>
      </c>
      <c r="D634" s="17">
        <v>9780071422949</v>
      </c>
      <c r="E634" s="16" t="s">
        <v>8328</v>
      </c>
      <c r="F634" s="16" t="s">
        <v>17</v>
      </c>
      <c r="G634" s="16" t="s">
        <v>17</v>
      </c>
      <c r="H634" s="16" t="s">
        <v>17</v>
      </c>
      <c r="I634" s="16" t="s">
        <v>17</v>
      </c>
      <c r="J634" s="16" t="s">
        <v>17</v>
      </c>
      <c r="K634" s="16" t="s">
        <v>1399</v>
      </c>
      <c r="L634" s="16" t="s">
        <v>1398</v>
      </c>
      <c r="M634" s="16" t="s">
        <v>1397</v>
      </c>
      <c r="N634" s="16" t="s">
        <v>17</v>
      </c>
      <c r="O634" s="16" t="s">
        <v>6921</v>
      </c>
      <c r="P634" s="16" t="s">
        <v>17</v>
      </c>
      <c r="Q634" s="16" t="s">
        <v>6922</v>
      </c>
      <c r="R634" s="16" t="s">
        <v>6923</v>
      </c>
      <c r="S634" s="16" t="s">
        <v>17</v>
      </c>
      <c r="T634" s="16" t="s">
        <v>8328</v>
      </c>
      <c r="U634" s="16" t="s">
        <v>17</v>
      </c>
      <c r="V634" s="16" t="s">
        <v>8329</v>
      </c>
      <c r="W634" s="16" t="s">
        <v>17</v>
      </c>
      <c r="X634" s="16" t="s">
        <v>1397</v>
      </c>
      <c r="Y634" s="16" t="s">
        <v>17</v>
      </c>
      <c r="Z634" s="16" t="s">
        <v>6926</v>
      </c>
    </row>
    <row r="635" spans="1:26" x14ac:dyDescent="0.3">
      <c r="A635" s="16">
        <v>634</v>
      </c>
      <c r="B635" s="16" t="s">
        <v>7675</v>
      </c>
      <c r="C635" s="17">
        <v>9780071632409</v>
      </c>
      <c r="D635" s="17">
        <v>9780071632409</v>
      </c>
      <c r="E635" s="16" t="s">
        <v>6920</v>
      </c>
      <c r="F635" s="16" t="s">
        <v>17</v>
      </c>
      <c r="G635" s="16" t="s">
        <v>17</v>
      </c>
      <c r="H635" s="16" t="s">
        <v>17</v>
      </c>
      <c r="I635" s="16" t="s">
        <v>17</v>
      </c>
      <c r="J635" s="16" t="s">
        <v>17</v>
      </c>
      <c r="K635" s="16" t="s">
        <v>666</v>
      </c>
      <c r="L635" s="16" t="s">
        <v>665</v>
      </c>
      <c r="M635" s="16" t="s">
        <v>7675</v>
      </c>
      <c r="N635" s="16" t="s">
        <v>17</v>
      </c>
      <c r="O635" s="16" t="s">
        <v>6921</v>
      </c>
      <c r="P635" s="16" t="s">
        <v>17</v>
      </c>
      <c r="Q635" s="16" t="s">
        <v>6922</v>
      </c>
      <c r="R635" s="16" t="s">
        <v>6923</v>
      </c>
      <c r="S635" s="16" t="s">
        <v>17</v>
      </c>
      <c r="T635" s="16" t="s">
        <v>6920</v>
      </c>
      <c r="U635" s="16" t="s">
        <v>17</v>
      </c>
      <c r="V635" s="16" t="s">
        <v>6929</v>
      </c>
      <c r="W635" s="16" t="s">
        <v>17</v>
      </c>
      <c r="X635" s="16" t="s">
        <v>7675</v>
      </c>
      <c r="Y635" s="16" t="s">
        <v>17</v>
      </c>
      <c r="Z635" s="16" t="s">
        <v>6926</v>
      </c>
    </row>
    <row r="636" spans="1:26" x14ac:dyDescent="0.3">
      <c r="A636" s="16">
        <v>635</v>
      </c>
      <c r="B636" s="16" t="s">
        <v>7875</v>
      </c>
      <c r="C636" s="17">
        <v>9781259834295</v>
      </c>
      <c r="D636" s="17">
        <v>9781259834295</v>
      </c>
      <c r="E636" s="16" t="s">
        <v>7506</v>
      </c>
      <c r="F636" s="16" t="s">
        <v>17</v>
      </c>
      <c r="G636" s="16" t="s">
        <v>17</v>
      </c>
      <c r="H636" s="16" t="s">
        <v>17</v>
      </c>
      <c r="I636" s="16" t="s">
        <v>17</v>
      </c>
      <c r="J636" s="16" t="s">
        <v>17</v>
      </c>
      <c r="K636" s="16" t="s">
        <v>873</v>
      </c>
      <c r="L636" s="16" t="s">
        <v>872</v>
      </c>
      <c r="M636" s="16" t="s">
        <v>7875</v>
      </c>
      <c r="N636" s="16" t="s">
        <v>17</v>
      </c>
      <c r="O636" s="16" t="s">
        <v>6921</v>
      </c>
      <c r="P636" s="16" t="s">
        <v>17</v>
      </c>
      <c r="Q636" s="16" t="s">
        <v>6922</v>
      </c>
      <c r="R636" s="16" t="s">
        <v>6923</v>
      </c>
      <c r="S636" s="16" t="s">
        <v>17</v>
      </c>
      <c r="T636" s="16" t="s">
        <v>7506</v>
      </c>
      <c r="U636" s="16" t="s">
        <v>17</v>
      </c>
      <c r="V636" s="16" t="s">
        <v>6929</v>
      </c>
      <c r="W636" s="16" t="s">
        <v>17</v>
      </c>
      <c r="X636" s="16" t="s">
        <v>7875</v>
      </c>
      <c r="Y636" s="16" t="s">
        <v>17</v>
      </c>
      <c r="Z636" s="16" t="s">
        <v>6926</v>
      </c>
    </row>
    <row r="637" spans="1:26" x14ac:dyDescent="0.3">
      <c r="A637" s="16">
        <v>636</v>
      </c>
      <c r="B637" s="16" t="s">
        <v>7573</v>
      </c>
      <c r="C637" s="17">
        <v>9780071493758</v>
      </c>
      <c r="D637" s="17">
        <v>9780071493758</v>
      </c>
      <c r="E637" s="16" t="s">
        <v>6920</v>
      </c>
      <c r="F637" s="16" t="s">
        <v>17</v>
      </c>
      <c r="G637" s="16" t="s">
        <v>17</v>
      </c>
      <c r="H637" s="16" t="s">
        <v>17</v>
      </c>
      <c r="I637" s="16" t="s">
        <v>17</v>
      </c>
      <c r="J637" s="16" t="s">
        <v>17</v>
      </c>
      <c r="K637" s="16" t="s">
        <v>562</v>
      </c>
      <c r="L637" s="16" t="s">
        <v>7574</v>
      </c>
      <c r="M637" s="16" t="s">
        <v>7573</v>
      </c>
      <c r="N637" s="16" t="s">
        <v>17</v>
      </c>
      <c r="O637" s="16" t="s">
        <v>6921</v>
      </c>
      <c r="P637" s="16" t="s">
        <v>17</v>
      </c>
      <c r="Q637" s="16" t="s">
        <v>6922</v>
      </c>
      <c r="R637" s="16" t="s">
        <v>6923</v>
      </c>
      <c r="S637" s="16" t="s">
        <v>17</v>
      </c>
      <c r="T637" s="16" t="s">
        <v>6920</v>
      </c>
      <c r="U637" s="16" t="s">
        <v>17</v>
      </c>
      <c r="V637" s="16" t="s">
        <v>7072</v>
      </c>
      <c r="W637" s="16" t="s">
        <v>17</v>
      </c>
      <c r="X637" s="16" t="s">
        <v>7573</v>
      </c>
      <c r="Y637" s="16" t="s">
        <v>17</v>
      </c>
      <c r="Z637" s="16" t="s">
        <v>6926</v>
      </c>
    </row>
    <row r="638" spans="1:26" x14ac:dyDescent="0.3">
      <c r="A638" s="16">
        <v>637</v>
      </c>
      <c r="B638" s="16" t="s">
        <v>7236</v>
      </c>
      <c r="C638" s="17">
        <v>9780071597982</v>
      </c>
      <c r="D638" s="17">
        <v>9780071597982</v>
      </c>
      <c r="E638" s="16" t="s">
        <v>6920</v>
      </c>
      <c r="F638" s="16" t="s">
        <v>17</v>
      </c>
      <c r="G638" s="16" t="s">
        <v>17</v>
      </c>
      <c r="H638" s="16" t="s">
        <v>17</v>
      </c>
      <c r="I638" s="16" t="s">
        <v>17</v>
      </c>
      <c r="J638" s="16" t="s">
        <v>17</v>
      </c>
      <c r="K638" s="16" t="s">
        <v>271</v>
      </c>
      <c r="L638" s="16" t="s">
        <v>17</v>
      </c>
      <c r="M638" s="16" t="s">
        <v>7236</v>
      </c>
      <c r="N638" s="16" t="s">
        <v>17</v>
      </c>
      <c r="O638" s="16" t="s">
        <v>6921</v>
      </c>
      <c r="P638" s="16" t="s">
        <v>17</v>
      </c>
      <c r="Q638" s="16" t="s">
        <v>6922</v>
      </c>
      <c r="R638" s="16" t="s">
        <v>6923</v>
      </c>
      <c r="S638" s="16" t="s">
        <v>17</v>
      </c>
      <c r="T638" s="16" t="s">
        <v>6920</v>
      </c>
      <c r="U638" s="16" t="s">
        <v>17</v>
      </c>
      <c r="V638" s="16" t="s">
        <v>6929</v>
      </c>
      <c r="W638" s="16" t="s">
        <v>270</v>
      </c>
      <c r="X638" s="16" t="s">
        <v>7236</v>
      </c>
      <c r="Y638" s="16" t="s">
        <v>17</v>
      </c>
      <c r="Z638" s="16" t="s">
        <v>6926</v>
      </c>
    </row>
    <row r="639" spans="1:26" x14ac:dyDescent="0.3">
      <c r="A639" s="16">
        <v>638</v>
      </c>
      <c r="B639" s="16" t="s">
        <v>6983</v>
      </c>
      <c r="C639" s="17">
        <v>9780071409445</v>
      </c>
      <c r="D639" s="17">
        <v>9780071409445</v>
      </c>
      <c r="E639" s="16" t="s">
        <v>6920</v>
      </c>
      <c r="F639" s="16" t="s">
        <v>17</v>
      </c>
      <c r="G639" s="16" t="s">
        <v>17</v>
      </c>
      <c r="H639" s="16" t="s">
        <v>17</v>
      </c>
      <c r="I639" s="16" t="s">
        <v>17</v>
      </c>
      <c r="J639" s="16" t="s">
        <v>17</v>
      </c>
      <c r="K639" s="16" t="s">
        <v>59</v>
      </c>
      <c r="L639" s="16" t="s">
        <v>58</v>
      </c>
      <c r="M639" s="16" t="s">
        <v>6983</v>
      </c>
      <c r="N639" s="16" t="s">
        <v>17</v>
      </c>
      <c r="O639" s="16" t="s">
        <v>6921</v>
      </c>
      <c r="P639" s="16" t="s">
        <v>17</v>
      </c>
      <c r="Q639" s="16" t="s">
        <v>6922</v>
      </c>
      <c r="R639" s="16" t="s">
        <v>6923</v>
      </c>
      <c r="S639" s="16" t="s">
        <v>17</v>
      </c>
      <c r="T639" s="16" t="s">
        <v>6920</v>
      </c>
      <c r="U639" s="16" t="s">
        <v>17</v>
      </c>
      <c r="V639" s="16" t="s">
        <v>6929</v>
      </c>
      <c r="W639" s="16" t="s">
        <v>17</v>
      </c>
      <c r="X639" s="16" t="s">
        <v>6983</v>
      </c>
      <c r="Y639" s="16" t="s">
        <v>17</v>
      </c>
      <c r="Z639" s="16" t="s">
        <v>6926</v>
      </c>
    </row>
    <row r="640" spans="1:26" x14ac:dyDescent="0.3">
      <c r="A640" s="16">
        <v>639</v>
      </c>
      <c r="B640" s="16" t="s">
        <v>6996</v>
      </c>
      <c r="C640" s="17">
        <v>9780071408752</v>
      </c>
      <c r="D640" s="17">
        <v>9780071408752</v>
      </c>
      <c r="E640" s="16" t="s">
        <v>6920</v>
      </c>
      <c r="F640" s="16" t="s">
        <v>17</v>
      </c>
      <c r="G640" s="16" t="s">
        <v>17</v>
      </c>
      <c r="H640" s="16" t="s">
        <v>17</v>
      </c>
      <c r="I640" s="16" t="s">
        <v>17</v>
      </c>
      <c r="J640" s="16" t="s">
        <v>17</v>
      </c>
      <c r="K640" s="16" t="s">
        <v>71</v>
      </c>
      <c r="L640" s="16" t="s">
        <v>6997</v>
      </c>
      <c r="M640" s="16" t="s">
        <v>6996</v>
      </c>
      <c r="N640" s="16" t="s">
        <v>17</v>
      </c>
      <c r="O640" s="16" t="s">
        <v>6921</v>
      </c>
      <c r="P640" s="16" t="s">
        <v>17</v>
      </c>
      <c r="Q640" s="16" t="s">
        <v>6922</v>
      </c>
      <c r="R640" s="16" t="s">
        <v>6923</v>
      </c>
      <c r="S640" s="16" t="s">
        <v>17</v>
      </c>
      <c r="T640" s="16" t="s">
        <v>6920</v>
      </c>
      <c r="U640" s="16" t="s">
        <v>17</v>
      </c>
      <c r="V640" s="16" t="s">
        <v>6929</v>
      </c>
      <c r="W640" s="16" t="s">
        <v>17</v>
      </c>
      <c r="X640" s="16" t="s">
        <v>6996</v>
      </c>
      <c r="Y640" s="16" t="s">
        <v>17</v>
      </c>
      <c r="Z640" s="16" t="s">
        <v>6926</v>
      </c>
    </row>
    <row r="641" spans="1:26" x14ac:dyDescent="0.3">
      <c r="A641" s="16">
        <v>640</v>
      </c>
      <c r="B641" s="16" t="s">
        <v>7219</v>
      </c>
      <c r="C641" s="17">
        <v>9780071385190</v>
      </c>
      <c r="D641" s="17">
        <v>9780071385190</v>
      </c>
      <c r="E641" s="16" t="s">
        <v>6920</v>
      </c>
      <c r="F641" s="16" t="s">
        <v>17</v>
      </c>
      <c r="G641" s="16" t="s">
        <v>17</v>
      </c>
      <c r="H641" s="16" t="s">
        <v>17</v>
      </c>
      <c r="I641" s="16" t="s">
        <v>17</v>
      </c>
      <c r="J641" s="16" t="s">
        <v>17</v>
      </c>
      <c r="K641" s="16" t="s">
        <v>256</v>
      </c>
      <c r="L641" s="16" t="s">
        <v>255</v>
      </c>
      <c r="M641" s="16" t="s">
        <v>7219</v>
      </c>
      <c r="N641" s="16" t="s">
        <v>17</v>
      </c>
      <c r="O641" s="16" t="s">
        <v>6921</v>
      </c>
      <c r="P641" s="16" t="s">
        <v>17</v>
      </c>
      <c r="Q641" s="16" t="s">
        <v>6922</v>
      </c>
      <c r="R641" s="16" t="s">
        <v>6923</v>
      </c>
      <c r="S641" s="16" t="s">
        <v>17</v>
      </c>
      <c r="T641" s="16" t="s">
        <v>6920</v>
      </c>
      <c r="U641" s="16" t="s">
        <v>17</v>
      </c>
      <c r="V641" s="16" t="s">
        <v>6924</v>
      </c>
      <c r="W641" s="16" t="s">
        <v>17</v>
      </c>
      <c r="X641" s="16" t="s">
        <v>7219</v>
      </c>
      <c r="Y641" s="16" t="s">
        <v>17</v>
      </c>
      <c r="Z641" s="16" t="s">
        <v>6926</v>
      </c>
    </row>
    <row r="642" spans="1:26" x14ac:dyDescent="0.3">
      <c r="A642" s="16">
        <v>641</v>
      </c>
      <c r="B642" s="16" t="s">
        <v>7066</v>
      </c>
      <c r="C642" s="17">
        <v>9780071823340</v>
      </c>
      <c r="D642" s="17">
        <v>9780071823340</v>
      </c>
      <c r="E642" s="16" t="s">
        <v>7067</v>
      </c>
      <c r="F642" s="16" t="s">
        <v>17</v>
      </c>
      <c r="G642" s="16" t="s">
        <v>17</v>
      </c>
      <c r="H642" s="16" t="s">
        <v>17</v>
      </c>
      <c r="I642" s="16" t="s">
        <v>17</v>
      </c>
      <c r="J642" s="16" t="s">
        <v>17</v>
      </c>
      <c r="K642" s="16" t="s">
        <v>129</v>
      </c>
      <c r="L642" s="16" t="s">
        <v>128</v>
      </c>
      <c r="M642" s="16" t="s">
        <v>7066</v>
      </c>
      <c r="N642" s="16" t="s">
        <v>17</v>
      </c>
      <c r="O642" s="16" t="s">
        <v>6921</v>
      </c>
      <c r="P642" s="16" t="s">
        <v>17</v>
      </c>
      <c r="Q642" s="16" t="s">
        <v>6922</v>
      </c>
      <c r="R642" s="16" t="s">
        <v>6923</v>
      </c>
      <c r="S642" s="16" t="s">
        <v>17</v>
      </c>
      <c r="T642" s="16" t="s">
        <v>7067</v>
      </c>
      <c r="U642" s="16" t="s">
        <v>17</v>
      </c>
      <c r="V642" s="16" t="s">
        <v>6929</v>
      </c>
      <c r="W642" s="16" t="s">
        <v>17</v>
      </c>
      <c r="X642" s="16" t="s">
        <v>7066</v>
      </c>
      <c r="Y642" s="16" t="s">
        <v>17</v>
      </c>
      <c r="Z642" s="16" t="s">
        <v>6926</v>
      </c>
    </row>
    <row r="643" spans="1:26" x14ac:dyDescent="0.3">
      <c r="A643" s="16">
        <v>642</v>
      </c>
      <c r="B643" s="16" t="s">
        <v>7262</v>
      </c>
      <c r="C643" s="17">
        <v>9780071440905</v>
      </c>
      <c r="D643" s="17">
        <v>9780071440905</v>
      </c>
      <c r="E643" s="16" t="s">
        <v>7263</v>
      </c>
      <c r="F643" s="16" t="s">
        <v>17</v>
      </c>
      <c r="G643" s="16" t="s">
        <v>17</v>
      </c>
      <c r="H643" s="16" t="s">
        <v>17</v>
      </c>
      <c r="I643" s="16" t="s">
        <v>17</v>
      </c>
      <c r="J643" s="16" t="s">
        <v>17</v>
      </c>
      <c r="K643" s="16" t="s">
        <v>294</v>
      </c>
      <c r="L643" s="16" t="s">
        <v>7264</v>
      </c>
      <c r="M643" s="16" t="s">
        <v>7262</v>
      </c>
      <c r="N643" s="16" t="s">
        <v>17</v>
      </c>
      <c r="O643" s="16" t="s">
        <v>6921</v>
      </c>
      <c r="P643" s="16" t="s">
        <v>17</v>
      </c>
      <c r="Q643" s="16" t="s">
        <v>6922</v>
      </c>
      <c r="R643" s="16" t="s">
        <v>6923</v>
      </c>
      <c r="S643" s="16" t="s">
        <v>17</v>
      </c>
      <c r="T643" s="16" t="s">
        <v>7263</v>
      </c>
      <c r="U643" s="16" t="s">
        <v>17</v>
      </c>
      <c r="V643" s="16" t="s">
        <v>6929</v>
      </c>
      <c r="W643" s="16" t="s">
        <v>17</v>
      </c>
      <c r="X643" s="16" t="s">
        <v>7262</v>
      </c>
      <c r="Y643" s="16" t="s">
        <v>17</v>
      </c>
      <c r="Z643" s="16" t="s">
        <v>6926</v>
      </c>
    </row>
    <row r="644" spans="1:26" x14ac:dyDescent="0.3">
      <c r="A644" s="16">
        <v>643</v>
      </c>
      <c r="B644" s="16" t="s">
        <v>7228</v>
      </c>
      <c r="C644" s="17">
        <v>9780070471061</v>
      </c>
      <c r="D644" s="17">
        <v>9780070471061</v>
      </c>
      <c r="E644" s="16" t="s">
        <v>6920</v>
      </c>
      <c r="F644" s="16" t="s">
        <v>17</v>
      </c>
      <c r="G644" s="16" t="s">
        <v>17</v>
      </c>
      <c r="H644" s="16" t="s">
        <v>17</v>
      </c>
      <c r="I644" s="16" t="s">
        <v>17</v>
      </c>
      <c r="J644" s="16" t="s">
        <v>17</v>
      </c>
      <c r="K644" s="16" t="s">
        <v>264</v>
      </c>
      <c r="L644" s="16" t="s">
        <v>17</v>
      </c>
      <c r="M644" s="16" t="s">
        <v>7228</v>
      </c>
      <c r="N644" s="16" t="s">
        <v>17</v>
      </c>
      <c r="O644" s="16" t="s">
        <v>6921</v>
      </c>
      <c r="P644" s="16" t="s">
        <v>17</v>
      </c>
      <c r="Q644" s="16" t="s">
        <v>6922</v>
      </c>
      <c r="R644" s="16" t="s">
        <v>6923</v>
      </c>
      <c r="S644" s="16" t="s">
        <v>17</v>
      </c>
      <c r="T644" s="16" t="s">
        <v>6920</v>
      </c>
      <c r="U644" s="16" t="s">
        <v>17</v>
      </c>
      <c r="V644" s="16" t="s">
        <v>7145</v>
      </c>
      <c r="W644" s="16" t="s">
        <v>7229</v>
      </c>
      <c r="X644" s="16" t="s">
        <v>7228</v>
      </c>
      <c r="Y644" s="16" t="s">
        <v>17</v>
      </c>
      <c r="Z644" s="16" t="s">
        <v>6926</v>
      </c>
    </row>
    <row r="645" spans="1:26" x14ac:dyDescent="0.3">
      <c r="A645" s="16">
        <v>644</v>
      </c>
      <c r="B645" s="16" t="s">
        <v>7817</v>
      </c>
      <c r="C645" s="17">
        <v>9780071752855</v>
      </c>
      <c r="D645" s="17">
        <v>9780071752855</v>
      </c>
      <c r="E645" s="16" t="s">
        <v>6965</v>
      </c>
      <c r="F645" s="16" t="s">
        <v>17</v>
      </c>
      <c r="G645" s="16" t="s">
        <v>17</v>
      </c>
      <c r="H645" s="16" t="s">
        <v>17</v>
      </c>
      <c r="I645" s="16" t="s">
        <v>17</v>
      </c>
      <c r="J645" s="16" t="s">
        <v>17</v>
      </c>
      <c r="K645" s="16" t="s">
        <v>793</v>
      </c>
      <c r="L645" s="16" t="s">
        <v>792</v>
      </c>
      <c r="M645" s="16" t="s">
        <v>7817</v>
      </c>
      <c r="N645" s="16" t="s">
        <v>17</v>
      </c>
      <c r="O645" s="16" t="s">
        <v>6921</v>
      </c>
      <c r="P645" s="16" t="s">
        <v>17</v>
      </c>
      <c r="Q645" s="16" t="s">
        <v>6922</v>
      </c>
      <c r="R645" s="16" t="s">
        <v>6923</v>
      </c>
      <c r="S645" s="16" t="s">
        <v>17</v>
      </c>
      <c r="T645" s="16" t="s">
        <v>6965</v>
      </c>
      <c r="U645" s="16" t="s">
        <v>17</v>
      </c>
      <c r="V645" s="16" t="s">
        <v>6929</v>
      </c>
      <c r="W645" s="16" t="s">
        <v>17</v>
      </c>
      <c r="X645" s="16" t="s">
        <v>7817</v>
      </c>
      <c r="Y645" s="16" t="s">
        <v>17</v>
      </c>
      <c r="Z645" s="16" t="s">
        <v>6926</v>
      </c>
    </row>
    <row r="646" spans="1:26" x14ac:dyDescent="0.3">
      <c r="A646" s="16">
        <v>645</v>
      </c>
      <c r="B646" s="16" t="s">
        <v>7313</v>
      </c>
      <c r="C646" s="17">
        <v>9780071446419</v>
      </c>
      <c r="D646" s="17">
        <v>9780071446419</v>
      </c>
      <c r="E646" s="16" t="s">
        <v>7314</v>
      </c>
      <c r="F646" s="16" t="s">
        <v>17</v>
      </c>
      <c r="G646" s="16" t="s">
        <v>17</v>
      </c>
      <c r="H646" s="16" t="s">
        <v>17</v>
      </c>
      <c r="I646" s="16" t="s">
        <v>17</v>
      </c>
      <c r="J646" s="16" t="s">
        <v>17</v>
      </c>
      <c r="K646" s="16" t="s">
        <v>338</v>
      </c>
      <c r="L646" s="16" t="s">
        <v>337</v>
      </c>
      <c r="M646" s="16" t="s">
        <v>7313</v>
      </c>
      <c r="N646" s="16" t="s">
        <v>17</v>
      </c>
      <c r="O646" s="16" t="s">
        <v>6921</v>
      </c>
      <c r="P646" s="16" t="s">
        <v>17</v>
      </c>
      <c r="Q646" s="16" t="s">
        <v>6922</v>
      </c>
      <c r="R646" s="16" t="s">
        <v>6923</v>
      </c>
      <c r="S646" s="16" t="s">
        <v>17</v>
      </c>
      <c r="T646" s="16" t="s">
        <v>7314</v>
      </c>
      <c r="U646" s="16" t="s">
        <v>17</v>
      </c>
      <c r="V646" s="16" t="s">
        <v>6944</v>
      </c>
      <c r="W646" s="16" t="s">
        <v>17</v>
      </c>
      <c r="X646" s="16" t="s">
        <v>7313</v>
      </c>
      <c r="Y646" s="16" t="s">
        <v>17</v>
      </c>
      <c r="Z646" s="16" t="s">
        <v>6926</v>
      </c>
    </row>
    <row r="647" spans="1:26" x14ac:dyDescent="0.3">
      <c r="A647" s="16">
        <v>646</v>
      </c>
      <c r="B647" s="16" t="s">
        <v>7070</v>
      </c>
      <c r="C647" s="17">
        <v>9780071499194</v>
      </c>
      <c r="D647" s="17">
        <v>9780071499194</v>
      </c>
      <c r="E647" s="16" t="s">
        <v>6920</v>
      </c>
      <c r="F647" s="16" t="s">
        <v>17</v>
      </c>
      <c r="G647" s="16" t="s">
        <v>17</v>
      </c>
      <c r="H647" s="16" t="s">
        <v>17</v>
      </c>
      <c r="I647" s="16" t="s">
        <v>17</v>
      </c>
      <c r="J647" s="16" t="s">
        <v>17</v>
      </c>
      <c r="K647" s="16" t="s">
        <v>132</v>
      </c>
      <c r="L647" s="16" t="s">
        <v>131</v>
      </c>
      <c r="M647" s="16" t="s">
        <v>7070</v>
      </c>
      <c r="N647" s="16" t="s">
        <v>17</v>
      </c>
      <c r="O647" s="16" t="s">
        <v>6921</v>
      </c>
      <c r="P647" s="16" t="s">
        <v>17</v>
      </c>
      <c r="Q647" s="16" t="s">
        <v>6922</v>
      </c>
      <c r="R647" s="16" t="s">
        <v>6923</v>
      </c>
      <c r="S647" s="16" t="s">
        <v>17</v>
      </c>
      <c r="T647" s="16" t="s">
        <v>6920</v>
      </c>
      <c r="U647" s="16" t="s">
        <v>17</v>
      </c>
      <c r="V647" s="16" t="s">
        <v>6929</v>
      </c>
      <c r="W647" s="16" t="s">
        <v>17</v>
      </c>
      <c r="X647" s="16" t="s">
        <v>7070</v>
      </c>
      <c r="Y647" s="16" t="s">
        <v>17</v>
      </c>
      <c r="Z647" s="16" t="s">
        <v>6926</v>
      </c>
    </row>
    <row r="648" spans="1:26" x14ac:dyDescent="0.3">
      <c r="A648" s="16">
        <v>647</v>
      </c>
      <c r="B648" s="16" t="s">
        <v>8435</v>
      </c>
      <c r="C648" s="17">
        <v>9780072392661</v>
      </c>
      <c r="D648" s="17">
        <v>9780072392661</v>
      </c>
      <c r="E648" s="16" t="s">
        <v>8436</v>
      </c>
      <c r="F648" s="16" t="s">
        <v>17</v>
      </c>
      <c r="G648" s="16" t="s">
        <v>17</v>
      </c>
      <c r="H648" s="16" t="s">
        <v>17</v>
      </c>
      <c r="I648" s="16" t="s">
        <v>17</v>
      </c>
      <c r="J648" s="16" t="s">
        <v>17</v>
      </c>
      <c r="K648" s="16" t="s">
        <v>1619</v>
      </c>
      <c r="L648" s="16" t="s">
        <v>8437</v>
      </c>
      <c r="M648" s="16" t="s">
        <v>8435</v>
      </c>
      <c r="N648" s="16" t="s">
        <v>17</v>
      </c>
      <c r="O648" s="16" t="s">
        <v>6921</v>
      </c>
      <c r="P648" s="16" t="s">
        <v>17</v>
      </c>
      <c r="Q648" s="16" t="s">
        <v>6922</v>
      </c>
      <c r="R648" s="16" t="s">
        <v>6923</v>
      </c>
      <c r="S648" s="16" t="s">
        <v>17</v>
      </c>
      <c r="T648" s="16" t="s">
        <v>8436</v>
      </c>
      <c r="U648" s="16" t="s">
        <v>17</v>
      </c>
      <c r="V648" s="16" t="s">
        <v>6944</v>
      </c>
      <c r="W648" s="16" t="s">
        <v>17</v>
      </c>
      <c r="X648" s="16" t="s">
        <v>8435</v>
      </c>
      <c r="Y648" s="16" t="s">
        <v>17</v>
      </c>
      <c r="Z648" s="16" t="s">
        <v>6926</v>
      </c>
    </row>
    <row r="649" spans="1:26" x14ac:dyDescent="0.3">
      <c r="A649" s="16">
        <v>648</v>
      </c>
      <c r="B649" s="16" t="s">
        <v>7417</v>
      </c>
      <c r="C649" s="17">
        <v>9780071809894</v>
      </c>
      <c r="D649" s="17">
        <v>9780071809894</v>
      </c>
      <c r="E649" s="16" t="s">
        <v>7418</v>
      </c>
      <c r="F649" s="16" t="s">
        <v>17</v>
      </c>
      <c r="G649" s="16" t="s">
        <v>17</v>
      </c>
      <c r="H649" s="16" t="s">
        <v>17</v>
      </c>
      <c r="I649" s="16" t="s">
        <v>17</v>
      </c>
      <c r="J649" s="16" t="s">
        <v>17</v>
      </c>
      <c r="K649" s="16" t="s">
        <v>429</v>
      </c>
      <c r="L649" s="16" t="s">
        <v>7419</v>
      </c>
      <c r="M649" s="16" t="s">
        <v>7417</v>
      </c>
      <c r="N649" s="16" t="s">
        <v>17</v>
      </c>
      <c r="O649" s="16" t="s">
        <v>6921</v>
      </c>
      <c r="P649" s="16" t="s">
        <v>17</v>
      </c>
      <c r="Q649" s="16" t="s">
        <v>6922</v>
      </c>
      <c r="R649" s="16" t="s">
        <v>6923</v>
      </c>
      <c r="S649" s="16" t="s">
        <v>17</v>
      </c>
      <c r="T649" s="16" t="s">
        <v>7418</v>
      </c>
      <c r="U649" s="16" t="s">
        <v>17</v>
      </c>
      <c r="V649" s="16" t="s">
        <v>6929</v>
      </c>
      <c r="W649" s="16" t="s">
        <v>17</v>
      </c>
      <c r="X649" s="16" t="s">
        <v>7417</v>
      </c>
      <c r="Y649" s="16" t="s">
        <v>17</v>
      </c>
      <c r="Z649" s="16" t="s">
        <v>6926</v>
      </c>
    </row>
    <row r="650" spans="1:26" x14ac:dyDescent="0.3">
      <c r="A650" s="16">
        <v>649</v>
      </c>
      <c r="B650" s="16" t="s">
        <v>7000</v>
      </c>
      <c r="C650" s="17">
        <v>9780071359566</v>
      </c>
      <c r="D650" s="17">
        <v>9780071359566</v>
      </c>
      <c r="E650" s="16" t="s">
        <v>6920</v>
      </c>
      <c r="F650" s="16" t="s">
        <v>17</v>
      </c>
      <c r="G650" s="16" t="s">
        <v>17</v>
      </c>
      <c r="H650" s="16" t="s">
        <v>17</v>
      </c>
      <c r="I650" s="16" t="s">
        <v>17</v>
      </c>
      <c r="J650" s="16" t="s">
        <v>17</v>
      </c>
      <c r="K650" s="16" t="s">
        <v>73</v>
      </c>
      <c r="L650" s="16" t="s">
        <v>7001</v>
      </c>
      <c r="M650" s="16" t="s">
        <v>7000</v>
      </c>
      <c r="N650" s="16" t="s">
        <v>17</v>
      </c>
      <c r="O650" s="16" t="s">
        <v>6921</v>
      </c>
      <c r="P650" s="16" t="s">
        <v>17</v>
      </c>
      <c r="Q650" s="16" t="s">
        <v>6922</v>
      </c>
      <c r="R650" s="16" t="s">
        <v>6923</v>
      </c>
      <c r="S650" s="16" t="s">
        <v>17</v>
      </c>
      <c r="T650" s="16" t="s">
        <v>6920</v>
      </c>
      <c r="U650" s="16" t="s">
        <v>17</v>
      </c>
      <c r="V650" s="16" t="s">
        <v>6929</v>
      </c>
      <c r="W650" s="16" t="s">
        <v>17</v>
      </c>
      <c r="X650" s="16" t="s">
        <v>7000</v>
      </c>
      <c r="Y650" s="16" t="s">
        <v>17</v>
      </c>
      <c r="Z650" s="16" t="s">
        <v>6926</v>
      </c>
    </row>
    <row r="651" spans="1:26" x14ac:dyDescent="0.3">
      <c r="A651" s="16">
        <v>650</v>
      </c>
      <c r="B651" s="16" t="s">
        <v>5162</v>
      </c>
      <c r="C651" s="17">
        <v>9781260467475</v>
      </c>
      <c r="D651" s="17">
        <v>9781260467475</v>
      </c>
      <c r="E651" s="16" t="s">
        <v>7591</v>
      </c>
      <c r="F651" s="16" t="s">
        <v>17</v>
      </c>
      <c r="G651" s="16" t="s">
        <v>17</v>
      </c>
      <c r="H651" s="16" t="s">
        <v>17</v>
      </c>
      <c r="I651" s="16" t="s">
        <v>17</v>
      </c>
      <c r="J651" s="16" t="s">
        <v>17</v>
      </c>
      <c r="K651" s="16" t="s">
        <v>583</v>
      </c>
      <c r="L651" s="16" t="s">
        <v>582</v>
      </c>
      <c r="M651" s="16" t="s">
        <v>5162</v>
      </c>
      <c r="N651" s="16" t="s">
        <v>17</v>
      </c>
      <c r="O651" s="16" t="s">
        <v>6921</v>
      </c>
      <c r="P651" s="16" t="s">
        <v>17</v>
      </c>
      <c r="Q651" s="16" t="s">
        <v>6922</v>
      </c>
      <c r="R651" s="16" t="s">
        <v>6923</v>
      </c>
      <c r="S651" s="16" t="s">
        <v>17</v>
      </c>
      <c r="T651" s="16" t="s">
        <v>7591</v>
      </c>
      <c r="U651" s="16" t="s">
        <v>17</v>
      </c>
      <c r="V651" s="16" t="s">
        <v>6929</v>
      </c>
      <c r="W651" s="16" t="s">
        <v>17</v>
      </c>
      <c r="X651" s="16" t="s">
        <v>5162</v>
      </c>
      <c r="Y651" s="16" t="s">
        <v>17</v>
      </c>
      <c r="Z651" s="16" t="s">
        <v>6926</v>
      </c>
    </row>
    <row r="652" spans="1:26" x14ac:dyDescent="0.3">
      <c r="A652" s="16">
        <v>651</v>
      </c>
      <c r="B652" s="16" t="s">
        <v>1402</v>
      </c>
      <c r="C652" s="17">
        <v>9781260132311</v>
      </c>
      <c r="D652" s="17">
        <v>9781260132311</v>
      </c>
      <c r="E652" s="16" t="s">
        <v>7723</v>
      </c>
      <c r="F652" s="16" t="s">
        <v>17</v>
      </c>
      <c r="G652" s="16" t="s">
        <v>17</v>
      </c>
      <c r="H652" s="16" t="s">
        <v>17</v>
      </c>
      <c r="I652" s="16" t="s">
        <v>17</v>
      </c>
      <c r="J652" s="16" t="s">
        <v>17</v>
      </c>
      <c r="K652" s="16" t="s">
        <v>710</v>
      </c>
      <c r="L652" s="16" t="s">
        <v>7724</v>
      </c>
      <c r="M652" s="16" t="s">
        <v>1402</v>
      </c>
      <c r="N652" s="16" t="s">
        <v>17</v>
      </c>
      <c r="O652" s="16" t="s">
        <v>6921</v>
      </c>
      <c r="P652" s="16" t="s">
        <v>17</v>
      </c>
      <c r="Q652" s="16" t="s">
        <v>6922</v>
      </c>
      <c r="R652" s="16" t="s">
        <v>6923</v>
      </c>
      <c r="S652" s="16" t="s">
        <v>17</v>
      </c>
      <c r="T652" s="16" t="s">
        <v>7723</v>
      </c>
      <c r="U652" s="16" t="s">
        <v>17</v>
      </c>
      <c r="V652" s="16" t="s">
        <v>6924</v>
      </c>
      <c r="W652" s="16" t="s">
        <v>17</v>
      </c>
      <c r="X652" s="16" t="s">
        <v>1402</v>
      </c>
      <c r="Y652" s="16" t="s">
        <v>17</v>
      </c>
      <c r="Z652" s="16" t="s">
        <v>6926</v>
      </c>
    </row>
    <row r="653" spans="1:26" x14ac:dyDescent="0.3">
      <c r="A653" s="16">
        <v>652</v>
      </c>
      <c r="B653" s="16" t="s">
        <v>1402</v>
      </c>
      <c r="C653" s="17">
        <v>9780071458214</v>
      </c>
      <c r="D653" s="17">
        <v>9780071458214</v>
      </c>
      <c r="E653" s="16" t="s">
        <v>6920</v>
      </c>
      <c r="F653" s="16" t="s">
        <v>17</v>
      </c>
      <c r="G653" s="16" t="s">
        <v>17</v>
      </c>
      <c r="H653" s="16" t="s">
        <v>17</v>
      </c>
      <c r="I653" s="16" t="s">
        <v>17</v>
      </c>
      <c r="J653" s="16" t="s">
        <v>17</v>
      </c>
      <c r="K653" s="16" t="s">
        <v>1404</v>
      </c>
      <c r="L653" s="16" t="s">
        <v>1403</v>
      </c>
      <c r="M653" s="16" t="s">
        <v>1402</v>
      </c>
      <c r="N653" s="16" t="s">
        <v>17</v>
      </c>
      <c r="O653" s="16" t="s">
        <v>6921</v>
      </c>
      <c r="P653" s="16" t="s">
        <v>17</v>
      </c>
      <c r="Q653" s="16" t="s">
        <v>6922</v>
      </c>
      <c r="R653" s="16" t="s">
        <v>6923</v>
      </c>
      <c r="S653" s="16" t="s">
        <v>17</v>
      </c>
      <c r="T653" s="16" t="s">
        <v>6920</v>
      </c>
      <c r="U653" s="16" t="s">
        <v>17</v>
      </c>
      <c r="V653" s="16" t="s">
        <v>7049</v>
      </c>
      <c r="W653" s="16" t="s">
        <v>17</v>
      </c>
      <c r="X653" s="16" t="s">
        <v>1402</v>
      </c>
      <c r="Y653" s="16" t="s">
        <v>17</v>
      </c>
      <c r="Z653" s="16" t="s">
        <v>6926</v>
      </c>
    </row>
    <row r="654" spans="1:26" x14ac:dyDescent="0.3">
      <c r="A654" s="16">
        <v>653</v>
      </c>
      <c r="B654" s="16" t="s">
        <v>7194</v>
      </c>
      <c r="C654" s="17">
        <v>9780070707047</v>
      </c>
      <c r="D654" s="17">
        <v>9780070707047</v>
      </c>
      <c r="E654" s="16" t="s">
        <v>6968</v>
      </c>
      <c r="F654" s="16" t="s">
        <v>17</v>
      </c>
      <c r="G654" s="16" t="s">
        <v>17</v>
      </c>
      <c r="H654" s="16" t="s">
        <v>17</v>
      </c>
      <c r="I654" s="16" t="s">
        <v>17</v>
      </c>
      <c r="J654" s="16" t="s">
        <v>17</v>
      </c>
      <c r="K654" s="16" t="s">
        <v>239</v>
      </c>
      <c r="L654" s="16" t="s">
        <v>7195</v>
      </c>
      <c r="M654" s="16" t="s">
        <v>7194</v>
      </c>
      <c r="N654" s="16" t="s">
        <v>17</v>
      </c>
      <c r="O654" s="16" t="s">
        <v>6921</v>
      </c>
      <c r="P654" s="16" t="s">
        <v>17</v>
      </c>
      <c r="Q654" s="16" t="s">
        <v>6922</v>
      </c>
      <c r="R654" s="16" t="s">
        <v>6923</v>
      </c>
      <c r="S654" s="16" t="s">
        <v>17</v>
      </c>
      <c r="T654" s="16" t="s">
        <v>6968</v>
      </c>
      <c r="U654" s="16" t="s">
        <v>17</v>
      </c>
      <c r="V654" s="16" t="s">
        <v>6949</v>
      </c>
      <c r="W654" s="16" t="s">
        <v>17</v>
      </c>
      <c r="X654" s="16" t="s">
        <v>7194</v>
      </c>
      <c r="Y654" s="16" t="s">
        <v>17</v>
      </c>
      <c r="Z654" s="16" t="s">
        <v>6926</v>
      </c>
    </row>
    <row r="655" spans="1:26" x14ac:dyDescent="0.3">
      <c r="A655" s="16">
        <v>654</v>
      </c>
      <c r="B655" s="16" t="s">
        <v>1405</v>
      </c>
      <c r="C655" s="17">
        <v>9780071447683</v>
      </c>
      <c r="D655" s="17">
        <v>9780071447683</v>
      </c>
      <c r="E655" s="16" t="s">
        <v>6920</v>
      </c>
      <c r="F655" s="16" t="s">
        <v>17</v>
      </c>
      <c r="G655" s="16" t="s">
        <v>17</v>
      </c>
      <c r="H655" s="16" t="s">
        <v>17</v>
      </c>
      <c r="I655" s="16" t="s">
        <v>17</v>
      </c>
      <c r="J655" s="16" t="s">
        <v>17</v>
      </c>
      <c r="K655" s="16" t="s">
        <v>1407</v>
      </c>
      <c r="L655" s="16" t="s">
        <v>1406</v>
      </c>
      <c r="M655" s="16" t="s">
        <v>1405</v>
      </c>
      <c r="N655" s="16" t="s">
        <v>17</v>
      </c>
      <c r="O655" s="16" t="s">
        <v>6921</v>
      </c>
      <c r="P655" s="16" t="s">
        <v>17</v>
      </c>
      <c r="Q655" s="16" t="s">
        <v>6922</v>
      </c>
      <c r="R655" s="16" t="s">
        <v>6923</v>
      </c>
      <c r="S655" s="16" t="s">
        <v>17</v>
      </c>
      <c r="T655" s="16" t="s">
        <v>6920</v>
      </c>
      <c r="U655" s="16" t="s">
        <v>17</v>
      </c>
      <c r="V655" s="16" t="s">
        <v>7049</v>
      </c>
      <c r="W655" s="16" t="s">
        <v>17</v>
      </c>
      <c r="X655" s="16" t="s">
        <v>1405</v>
      </c>
      <c r="Y655" s="16" t="s">
        <v>17</v>
      </c>
      <c r="Z655" s="16" t="s">
        <v>6926</v>
      </c>
    </row>
    <row r="656" spans="1:26" x14ac:dyDescent="0.3">
      <c r="A656" s="16">
        <v>655</v>
      </c>
      <c r="B656" s="16" t="s">
        <v>7770</v>
      </c>
      <c r="C656" s="17">
        <v>9781260463804</v>
      </c>
      <c r="D656" s="17">
        <v>9781260463804</v>
      </c>
      <c r="E656" s="16" t="s">
        <v>7343</v>
      </c>
      <c r="F656" s="16" t="s">
        <v>17</v>
      </c>
      <c r="G656" s="16" t="s">
        <v>17</v>
      </c>
      <c r="H656" s="16" t="s">
        <v>17</v>
      </c>
      <c r="I656" s="16" t="s">
        <v>17</v>
      </c>
      <c r="J656" s="16" t="s">
        <v>17</v>
      </c>
      <c r="K656" s="16" t="s">
        <v>749</v>
      </c>
      <c r="L656" s="16" t="s">
        <v>748</v>
      </c>
      <c r="M656" s="16" t="s">
        <v>7770</v>
      </c>
      <c r="N656" s="16" t="s">
        <v>17</v>
      </c>
      <c r="O656" s="16" t="s">
        <v>6921</v>
      </c>
      <c r="P656" s="16" t="s">
        <v>17</v>
      </c>
      <c r="Q656" s="16" t="s">
        <v>6922</v>
      </c>
      <c r="R656" s="16" t="s">
        <v>6923</v>
      </c>
      <c r="S656" s="16" t="s">
        <v>17</v>
      </c>
      <c r="T656" s="16" t="s">
        <v>7343</v>
      </c>
      <c r="U656" s="16" t="s">
        <v>17</v>
      </c>
      <c r="V656" s="16" t="s">
        <v>6929</v>
      </c>
      <c r="W656" s="16" t="s">
        <v>17</v>
      </c>
      <c r="X656" s="16" t="s">
        <v>7770</v>
      </c>
      <c r="Y656" s="16" t="s">
        <v>17</v>
      </c>
      <c r="Z656" s="16" t="s">
        <v>6926</v>
      </c>
    </row>
    <row r="657" spans="1:26" x14ac:dyDescent="0.3">
      <c r="A657" s="16">
        <v>656</v>
      </c>
      <c r="B657" s="16" t="s">
        <v>8003</v>
      </c>
      <c r="C657" s="17">
        <v>9781260456974</v>
      </c>
      <c r="D657" s="17">
        <v>9781260456974</v>
      </c>
      <c r="E657" s="16" t="s">
        <v>8004</v>
      </c>
      <c r="F657" s="16" t="s">
        <v>17</v>
      </c>
      <c r="G657" s="16" t="s">
        <v>17</v>
      </c>
      <c r="H657" s="16" t="s">
        <v>17</v>
      </c>
      <c r="I657" s="16" t="s">
        <v>17</v>
      </c>
      <c r="J657" s="16" t="s">
        <v>17</v>
      </c>
      <c r="K657" s="16" t="s">
        <v>1063</v>
      </c>
      <c r="L657" s="16" t="s">
        <v>1062</v>
      </c>
      <c r="M657" s="16" t="s">
        <v>8003</v>
      </c>
      <c r="N657" s="16" t="s">
        <v>17</v>
      </c>
      <c r="O657" s="16" t="s">
        <v>6921</v>
      </c>
      <c r="P657" s="16" t="s">
        <v>17</v>
      </c>
      <c r="Q657" s="16" t="s">
        <v>6922</v>
      </c>
      <c r="R657" s="16" t="s">
        <v>6923</v>
      </c>
      <c r="S657" s="16" t="s">
        <v>17</v>
      </c>
      <c r="T657" s="16" t="s">
        <v>8004</v>
      </c>
      <c r="U657" s="16" t="s">
        <v>17</v>
      </c>
      <c r="V657" s="16" t="s">
        <v>6929</v>
      </c>
      <c r="W657" s="16" t="s">
        <v>17</v>
      </c>
      <c r="X657" s="16" t="s">
        <v>8003</v>
      </c>
      <c r="Y657" s="16" t="s">
        <v>17</v>
      </c>
      <c r="Z657" s="16" t="s">
        <v>6926</v>
      </c>
    </row>
    <row r="658" spans="1:26" x14ac:dyDescent="0.3">
      <c r="A658" s="16">
        <v>657</v>
      </c>
      <c r="B658" s="16" t="s">
        <v>7618</v>
      </c>
      <c r="C658" s="17">
        <v>9780071830997</v>
      </c>
      <c r="D658" s="17">
        <v>9780071830997</v>
      </c>
      <c r="E658" s="16" t="s">
        <v>7619</v>
      </c>
      <c r="F658" s="16" t="s">
        <v>17</v>
      </c>
      <c r="G658" s="16" t="s">
        <v>17</v>
      </c>
      <c r="H658" s="16" t="s">
        <v>17</v>
      </c>
      <c r="I658" s="16" t="s">
        <v>17</v>
      </c>
      <c r="J658" s="16" t="s">
        <v>17</v>
      </c>
      <c r="K658" s="16" t="s">
        <v>611</v>
      </c>
      <c r="L658" s="16" t="s">
        <v>7620</v>
      </c>
      <c r="M658" s="16" t="s">
        <v>7618</v>
      </c>
      <c r="N658" s="16" t="s">
        <v>17</v>
      </c>
      <c r="O658" s="16" t="s">
        <v>6921</v>
      </c>
      <c r="P658" s="16" t="s">
        <v>17</v>
      </c>
      <c r="Q658" s="16" t="s">
        <v>6922</v>
      </c>
      <c r="R658" s="16" t="s">
        <v>6923</v>
      </c>
      <c r="S658" s="16" t="s">
        <v>17</v>
      </c>
      <c r="T658" s="16" t="s">
        <v>7619</v>
      </c>
      <c r="U658" s="16" t="s">
        <v>17</v>
      </c>
      <c r="V658" s="16" t="s">
        <v>6929</v>
      </c>
      <c r="W658" s="16" t="s">
        <v>17</v>
      </c>
      <c r="X658" s="16" t="s">
        <v>7618</v>
      </c>
      <c r="Y658" s="16" t="s">
        <v>17</v>
      </c>
      <c r="Z658" s="16" t="s">
        <v>6926</v>
      </c>
    </row>
    <row r="659" spans="1:26" x14ac:dyDescent="0.3">
      <c r="A659" s="16">
        <v>658</v>
      </c>
      <c r="B659" s="16" t="s">
        <v>8379</v>
      </c>
      <c r="C659" s="17">
        <v>9780071798259</v>
      </c>
      <c r="D659" s="17">
        <v>9780071798259</v>
      </c>
      <c r="E659" s="16" t="s">
        <v>7896</v>
      </c>
      <c r="F659" s="16" t="s">
        <v>17</v>
      </c>
      <c r="G659" s="16" t="s">
        <v>17</v>
      </c>
      <c r="H659" s="16" t="s">
        <v>17</v>
      </c>
      <c r="I659" s="16" t="s">
        <v>17</v>
      </c>
      <c r="J659" s="16" t="s">
        <v>17</v>
      </c>
      <c r="K659" s="16" t="s">
        <v>1536</v>
      </c>
      <c r="L659" s="16" t="s">
        <v>1507</v>
      </c>
      <c r="M659" s="16" t="s">
        <v>8379</v>
      </c>
      <c r="N659" s="16" t="s">
        <v>17</v>
      </c>
      <c r="O659" s="16" t="s">
        <v>6921</v>
      </c>
      <c r="P659" s="16" t="s">
        <v>17</v>
      </c>
      <c r="Q659" s="16" t="s">
        <v>6922</v>
      </c>
      <c r="R659" s="16" t="s">
        <v>6923</v>
      </c>
      <c r="S659" s="16" t="s">
        <v>17</v>
      </c>
      <c r="T659" s="16" t="s">
        <v>7896</v>
      </c>
      <c r="U659" s="16" t="s">
        <v>17</v>
      </c>
      <c r="V659" s="16" t="s">
        <v>6929</v>
      </c>
      <c r="W659" s="16" t="s">
        <v>17</v>
      </c>
      <c r="X659" s="16" t="s">
        <v>8379</v>
      </c>
      <c r="Y659" s="16" t="s">
        <v>17</v>
      </c>
      <c r="Z659" s="16" t="s">
        <v>6926</v>
      </c>
    </row>
    <row r="660" spans="1:26" x14ac:dyDescent="0.3">
      <c r="A660" s="16">
        <v>659</v>
      </c>
      <c r="B660" s="16" t="s">
        <v>8123</v>
      </c>
      <c r="C660" s="17">
        <v>9780071800082</v>
      </c>
      <c r="D660" s="17">
        <v>9780071800082</v>
      </c>
      <c r="E660" s="16" t="s">
        <v>7543</v>
      </c>
      <c r="F660" s="16" t="s">
        <v>17</v>
      </c>
      <c r="G660" s="16" t="s">
        <v>17</v>
      </c>
      <c r="H660" s="16" t="s">
        <v>17</v>
      </c>
      <c r="I660" s="16" t="s">
        <v>17</v>
      </c>
      <c r="J660" s="16" t="s">
        <v>17</v>
      </c>
      <c r="K660" s="16" t="s">
        <v>1210</v>
      </c>
      <c r="L660" s="16" t="s">
        <v>8124</v>
      </c>
      <c r="M660" s="16" t="s">
        <v>8123</v>
      </c>
      <c r="N660" s="16" t="s">
        <v>17</v>
      </c>
      <c r="O660" s="16" t="s">
        <v>6921</v>
      </c>
      <c r="P660" s="16" t="s">
        <v>17</v>
      </c>
      <c r="Q660" s="16" t="s">
        <v>6922</v>
      </c>
      <c r="R660" s="16" t="s">
        <v>6923</v>
      </c>
      <c r="S660" s="16" t="s">
        <v>17</v>
      </c>
      <c r="T660" s="16" t="s">
        <v>7543</v>
      </c>
      <c r="U660" s="16" t="s">
        <v>17</v>
      </c>
      <c r="V660" s="16" t="s">
        <v>6929</v>
      </c>
      <c r="W660" s="16" t="s">
        <v>17</v>
      </c>
      <c r="X660" s="16" t="s">
        <v>8123</v>
      </c>
      <c r="Y660" s="16" t="s">
        <v>17</v>
      </c>
      <c r="Z660" s="16" t="s">
        <v>6926</v>
      </c>
    </row>
    <row r="661" spans="1:26" x14ac:dyDescent="0.3">
      <c r="A661" s="16">
        <v>660</v>
      </c>
      <c r="B661" s="16" t="s">
        <v>7674</v>
      </c>
      <c r="C661" s="17">
        <v>9780071470759</v>
      </c>
      <c r="D661" s="17">
        <v>9780071470759</v>
      </c>
      <c r="E661" s="16" t="s">
        <v>6920</v>
      </c>
      <c r="F661" s="16" t="s">
        <v>17</v>
      </c>
      <c r="G661" s="16" t="s">
        <v>17</v>
      </c>
      <c r="H661" s="16" t="s">
        <v>17</v>
      </c>
      <c r="I661" s="16" t="s">
        <v>17</v>
      </c>
      <c r="J661" s="16" t="s">
        <v>17</v>
      </c>
      <c r="K661" s="16" t="s">
        <v>664</v>
      </c>
      <c r="L661" s="16" t="s">
        <v>663</v>
      </c>
      <c r="M661" s="16" t="s">
        <v>7674</v>
      </c>
      <c r="N661" s="16" t="s">
        <v>17</v>
      </c>
      <c r="O661" s="16" t="s">
        <v>6921</v>
      </c>
      <c r="P661" s="16" t="s">
        <v>17</v>
      </c>
      <c r="Q661" s="16" t="s">
        <v>6922</v>
      </c>
      <c r="R661" s="16" t="s">
        <v>6923</v>
      </c>
      <c r="S661" s="16" t="s">
        <v>17</v>
      </c>
      <c r="T661" s="16" t="s">
        <v>6920</v>
      </c>
      <c r="U661" s="16" t="s">
        <v>17</v>
      </c>
      <c r="V661" s="16" t="s">
        <v>6929</v>
      </c>
      <c r="W661" s="16" t="s">
        <v>17</v>
      </c>
      <c r="X661" s="16" t="s">
        <v>7674</v>
      </c>
      <c r="Y661" s="16" t="s">
        <v>17</v>
      </c>
      <c r="Z661" s="16" t="s">
        <v>6926</v>
      </c>
    </row>
    <row r="662" spans="1:26" x14ac:dyDescent="0.3">
      <c r="A662" s="16">
        <v>661</v>
      </c>
      <c r="B662" s="16" t="s">
        <v>7115</v>
      </c>
      <c r="C662" s="17">
        <v>9780071344166</v>
      </c>
      <c r="D662" s="17">
        <v>9780071344166</v>
      </c>
      <c r="E662" s="16" t="s">
        <v>6920</v>
      </c>
      <c r="F662" s="16" t="s">
        <v>17</v>
      </c>
      <c r="G662" s="16" t="s">
        <v>17</v>
      </c>
      <c r="H662" s="16" t="s">
        <v>17</v>
      </c>
      <c r="I662" s="16" t="s">
        <v>17</v>
      </c>
      <c r="J662" s="16" t="s">
        <v>17</v>
      </c>
      <c r="K662" s="16" t="s">
        <v>177</v>
      </c>
      <c r="L662" s="16" t="s">
        <v>7116</v>
      </c>
      <c r="M662" s="16" t="s">
        <v>7115</v>
      </c>
      <c r="N662" s="16" t="s">
        <v>17</v>
      </c>
      <c r="O662" s="16" t="s">
        <v>6921</v>
      </c>
      <c r="P662" s="16" t="s">
        <v>17</v>
      </c>
      <c r="Q662" s="16" t="s">
        <v>6922</v>
      </c>
      <c r="R662" s="16" t="s">
        <v>6923</v>
      </c>
      <c r="S662" s="16" t="s">
        <v>17</v>
      </c>
      <c r="T662" s="16" t="s">
        <v>6920</v>
      </c>
      <c r="U662" s="16" t="s">
        <v>17</v>
      </c>
      <c r="V662" s="16" t="s">
        <v>6929</v>
      </c>
      <c r="W662" s="16" t="s">
        <v>17</v>
      </c>
      <c r="X662" s="16" t="s">
        <v>7115</v>
      </c>
      <c r="Y662" s="16" t="s">
        <v>17</v>
      </c>
      <c r="Z662" s="16" t="s">
        <v>6926</v>
      </c>
    </row>
    <row r="663" spans="1:26" x14ac:dyDescent="0.3">
      <c r="A663" s="16">
        <v>662</v>
      </c>
      <c r="B663" s="16" t="s">
        <v>7522</v>
      </c>
      <c r="C663" s="17">
        <v>9781260473544</v>
      </c>
      <c r="D663" s="17">
        <v>9781260473544</v>
      </c>
      <c r="E663" s="16" t="s">
        <v>7523</v>
      </c>
      <c r="F663" s="16" t="s">
        <v>17</v>
      </c>
      <c r="G663" s="16" t="s">
        <v>17</v>
      </c>
      <c r="H663" s="16" t="s">
        <v>17</v>
      </c>
      <c r="I663" s="16" t="s">
        <v>17</v>
      </c>
      <c r="J663" s="16" t="s">
        <v>17</v>
      </c>
      <c r="K663" s="16" t="s">
        <v>522</v>
      </c>
      <c r="L663" s="16" t="s">
        <v>7524</v>
      </c>
      <c r="M663" s="16" t="s">
        <v>7522</v>
      </c>
      <c r="N663" s="16" t="s">
        <v>17</v>
      </c>
      <c r="O663" s="16" t="s">
        <v>6921</v>
      </c>
      <c r="P663" s="16" t="s">
        <v>17</v>
      </c>
      <c r="Q663" s="16" t="s">
        <v>6922</v>
      </c>
      <c r="R663" s="16" t="s">
        <v>6923</v>
      </c>
      <c r="S663" s="16" t="s">
        <v>17</v>
      </c>
      <c r="T663" s="16" t="s">
        <v>7523</v>
      </c>
      <c r="U663" s="16" t="s">
        <v>17</v>
      </c>
      <c r="V663" s="16" t="s">
        <v>6924</v>
      </c>
      <c r="W663" s="16" t="s">
        <v>17</v>
      </c>
      <c r="X663" s="16" t="s">
        <v>7522</v>
      </c>
      <c r="Y663" s="16" t="s">
        <v>17</v>
      </c>
      <c r="Z663" s="16" t="s">
        <v>6926</v>
      </c>
    </row>
    <row r="664" spans="1:26" x14ac:dyDescent="0.3">
      <c r="A664" s="16">
        <v>663</v>
      </c>
      <c r="B664" s="16" t="s">
        <v>7575</v>
      </c>
      <c r="C664" s="17">
        <v>9780071639583</v>
      </c>
      <c r="D664" s="17">
        <v>9780071639583</v>
      </c>
      <c r="E664" s="16" t="s">
        <v>7133</v>
      </c>
      <c r="F664" s="16" t="s">
        <v>17</v>
      </c>
      <c r="G664" s="16" t="s">
        <v>17</v>
      </c>
      <c r="H664" s="16" t="s">
        <v>17</v>
      </c>
      <c r="I664" s="16" t="s">
        <v>17</v>
      </c>
      <c r="J664" s="16" t="s">
        <v>17</v>
      </c>
      <c r="K664" s="16" t="s">
        <v>564</v>
      </c>
      <c r="L664" s="16" t="s">
        <v>7576</v>
      </c>
      <c r="M664" s="16" t="s">
        <v>7575</v>
      </c>
      <c r="N664" s="16" t="s">
        <v>17</v>
      </c>
      <c r="O664" s="16" t="s">
        <v>6921</v>
      </c>
      <c r="P664" s="16" t="s">
        <v>17</v>
      </c>
      <c r="Q664" s="16" t="s">
        <v>6922</v>
      </c>
      <c r="R664" s="16" t="s">
        <v>6923</v>
      </c>
      <c r="S664" s="16" t="s">
        <v>17</v>
      </c>
      <c r="T664" s="16" t="s">
        <v>7133</v>
      </c>
      <c r="U664" s="16" t="s">
        <v>17</v>
      </c>
      <c r="V664" s="16" t="s">
        <v>6944</v>
      </c>
      <c r="W664" s="16" t="s">
        <v>17</v>
      </c>
      <c r="X664" s="16" t="s">
        <v>7575</v>
      </c>
      <c r="Y664" s="16" t="s">
        <v>17</v>
      </c>
      <c r="Z664" s="16" t="s">
        <v>6926</v>
      </c>
    </row>
    <row r="665" spans="1:26" x14ac:dyDescent="0.3">
      <c r="A665" s="16">
        <v>664</v>
      </c>
      <c r="B665" s="16" t="s">
        <v>7575</v>
      </c>
      <c r="C665" s="17">
        <v>9781260132250</v>
      </c>
      <c r="D665" s="17">
        <v>9781260132250</v>
      </c>
      <c r="E665" s="16" t="s">
        <v>8448</v>
      </c>
      <c r="F665" s="16" t="s">
        <v>17</v>
      </c>
      <c r="G665" s="16" t="s">
        <v>17</v>
      </c>
      <c r="H665" s="16" t="s">
        <v>17</v>
      </c>
      <c r="I665" s="16" t="s">
        <v>17</v>
      </c>
      <c r="J665" s="16" t="s">
        <v>17</v>
      </c>
      <c r="K665" s="16" t="s">
        <v>1630</v>
      </c>
      <c r="L665" s="16" t="s">
        <v>8452</v>
      </c>
      <c r="M665" s="16" t="s">
        <v>7575</v>
      </c>
      <c r="N665" s="16" t="s">
        <v>17</v>
      </c>
      <c r="O665" s="16" t="s">
        <v>6921</v>
      </c>
      <c r="P665" s="16" t="s">
        <v>17</v>
      </c>
      <c r="Q665" s="16" t="s">
        <v>6922</v>
      </c>
      <c r="R665" s="16" t="s">
        <v>6923</v>
      </c>
      <c r="S665" s="16" t="s">
        <v>17</v>
      </c>
      <c r="T665" s="16" t="s">
        <v>8448</v>
      </c>
      <c r="U665" s="16" t="s">
        <v>17</v>
      </c>
      <c r="V665" s="16" t="s">
        <v>7072</v>
      </c>
      <c r="W665" s="16" t="s">
        <v>17</v>
      </c>
      <c r="X665" s="16" t="s">
        <v>7575</v>
      </c>
      <c r="Y665" s="16" t="s">
        <v>17</v>
      </c>
      <c r="Z665" s="16" t="s">
        <v>6926</v>
      </c>
    </row>
    <row r="666" spans="1:26" x14ac:dyDescent="0.3">
      <c r="A666" s="16">
        <v>665</v>
      </c>
      <c r="B666" s="16" t="s">
        <v>7167</v>
      </c>
      <c r="C666" s="17">
        <v>9780071606134</v>
      </c>
      <c r="D666" s="17">
        <v>9780071606134</v>
      </c>
      <c r="E666" s="16" t="s">
        <v>6920</v>
      </c>
      <c r="F666" s="16" t="s">
        <v>17</v>
      </c>
      <c r="G666" s="16" t="s">
        <v>17</v>
      </c>
      <c r="H666" s="16" t="s">
        <v>17</v>
      </c>
      <c r="I666" s="16" t="s">
        <v>17</v>
      </c>
      <c r="J666" s="16" t="s">
        <v>17</v>
      </c>
      <c r="K666" s="16" t="s">
        <v>218</v>
      </c>
      <c r="L666" s="16" t="s">
        <v>7168</v>
      </c>
      <c r="M666" s="16" t="s">
        <v>7167</v>
      </c>
      <c r="N666" s="16" t="s">
        <v>17</v>
      </c>
      <c r="O666" s="16" t="s">
        <v>6921</v>
      </c>
      <c r="P666" s="16" t="s">
        <v>17</v>
      </c>
      <c r="Q666" s="16" t="s">
        <v>6922</v>
      </c>
      <c r="R666" s="16" t="s">
        <v>6923</v>
      </c>
      <c r="S666" s="16" t="s">
        <v>17</v>
      </c>
      <c r="T666" s="16" t="s">
        <v>6920</v>
      </c>
      <c r="U666" s="16" t="s">
        <v>17</v>
      </c>
      <c r="V666" s="16" t="s">
        <v>6929</v>
      </c>
      <c r="W666" s="16" t="s">
        <v>17</v>
      </c>
      <c r="X666" s="16" t="s">
        <v>7167</v>
      </c>
      <c r="Y666" s="16" t="s">
        <v>17</v>
      </c>
      <c r="Z666" s="16" t="s">
        <v>6926</v>
      </c>
    </row>
    <row r="667" spans="1:26" x14ac:dyDescent="0.3">
      <c r="A667" s="16">
        <v>666</v>
      </c>
      <c r="B667" s="16" t="s">
        <v>8106</v>
      </c>
      <c r="C667" s="17">
        <v>9781260456158</v>
      </c>
      <c r="D667" s="17">
        <v>9781260456158</v>
      </c>
      <c r="E667" s="16" t="s">
        <v>8107</v>
      </c>
      <c r="F667" s="16" t="s">
        <v>17</v>
      </c>
      <c r="G667" s="16" t="s">
        <v>17</v>
      </c>
      <c r="H667" s="16" t="s">
        <v>17</v>
      </c>
      <c r="I667" s="16" t="s">
        <v>17</v>
      </c>
      <c r="J667" s="16" t="s">
        <v>17</v>
      </c>
      <c r="K667" s="16" t="s">
        <v>1191</v>
      </c>
      <c r="L667" s="16" t="s">
        <v>8108</v>
      </c>
      <c r="M667" s="16" t="s">
        <v>8106</v>
      </c>
      <c r="N667" s="16" t="s">
        <v>17</v>
      </c>
      <c r="O667" s="16" t="s">
        <v>6921</v>
      </c>
      <c r="P667" s="16" t="s">
        <v>17</v>
      </c>
      <c r="Q667" s="16" t="s">
        <v>6922</v>
      </c>
      <c r="R667" s="16" t="s">
        <v>6923</v>
      </c>
      <c r="S667" s="16" t="s">
        <v>17</v>
      </c>
      <c r="T667" s="16" t="s">
        <v>8107</v>
      </c>
      <c r="U667" s="16" t="s">
        <v>17</v>
      </c>
      <c r="V667" s="16" t="s">
        <v>6929</v>
      </c>
      <c r="W667" s="16" t="s">
        <v>17</v>
      </c>
      <c r="X667" s="16" t="s">
        <v>8106</v>
      </c>
      <c r="Y667" s="16" t="s">
        <v>17</v>
      </c>
      <c r="Z667" s="16" t="s">
        <v>6926</v>
      </c>
    </row>
    <row r="668" spans="1:26" x14ac:dyDescent="0.3">
      <c r="A668" s="16">
        <v>667</v>
      </c>
      <c r="B668" s="16" t="s">
        <v>7411</v>
      </c>
      <c r="C668" s="17">
        <v>9781259587542</v>
      </c>
      <c r="D668" s="17">
        <v>9781259587542</v>
      </c>
      <c r="E668" s="16" t="s">
        <v>6955</v>
      </c>
      <c r="F668" s="16" t="s">
        <v>17</v>
      </c>
      <c r="G668" s="16" t="s">
        <v>17</v>
      </c>
      <c r="H668" s="16" t="s">
        <v>17</v>
      </c>
      <c r="I668" s="16" t="s">
        <v>17</v>
      </c>
      <c r="J668" s="16" t="s">
        <v>17</v>
      </c>
      <c r="K668" s="16" t="s">
        <v>422</v>
      </c>
      <c r="L668" s="16" t="s">
        <v>421</v>
      </c>
      <c r="M668" s="16" t="s">
        <v>7411</v>
      </c>
      <c r="N668" s="16" t="s">
        <v>17</v>
      </c>
      <c r="O668" s="16" t="s">
        <v>6921</v>
      </c>
      <c r="P668" s="16" t="s">
        <v>17</v>
      </c>
      <c r="Q668" s="16" t="s">
        <v>6922</v>
      </c>
      <c r="R668" s="16" t="s">
        <v>6923</v>
      </c>
      <c r="S668" s="16" t="s">
        <v>17</v>
      </c>
      <c r="T668" s="16" t="s">
        <v>6955</v>
      </c>
      <c r="U668" s="16" t="s">
        <v>17</v>
      </c>
      <c r="V668" s="16" t="s">
        <v>7024</v>
      </c>
      <c r="W668" s="16" t="s">
        <v>17</v>
      </c>
      <c r="X668" s="16" t="s">
        <v>7411</v>
      </c>
      <c r="Y668" s="16" t="s">
        <v>17</v>
      </c>
      <c r="Z668" s="16" t="s">
        <v>6926</v>
      </c>
    </row>
    <row r="669" spans="1:26" x14ac:dyDescent="0.3">
      <c r="A669" s="16">
        <v>668</v>
      </c>
      <c r="B669" s="16" t="s">
        <v>913</v>
      </c>
      <c r="C669" s="17">
        <v>9780071771337</v>
      </c>
      <c r="D669" s="17">
        <v>9780071771337</v>
      </c>
      <c r="E669" s="16" t="s">
        <v>7478</v>
      </c>
      <c r="F669" s="16" t="s">
        <v>17</v>
      </c>
      <c r="G669" s="16" t="s">
        <v>17</v>
      </c>
      <c r="H669" s="16" t="s">
        <v>17</v>
      </c>
      <c r="I669" s="16" t="s">
        <v>17</v>
      </c>
      <c r="J669" s="16" t="s">
        <v>17</v>
      </c>
      <c r="K669" s="16" t="s">
        <v>914</v>
      </c>
      <c r="L669" s="16" t="s">
        <v>421</v>
      </c>
      <c r="M669" s="16" t="s">
        <v>913</v>
      </c>
      <c r="N669" s="16" t="s">
        <v>17</v>
      </c>
      <c r="O669" s="16" t="s">
        <v>6921</v>
      </c>
      <c r="P669" s="16" t="s">
        <v>17</v>
      </c>
      <c r="Q669" s="16" t="s">
        <v>6922</v>
      </c>
      <c r="R669" s="16" t="s">
        <v>6923</v>
      </c>
      <c r="S669" s="16" t="s">
        <v>17</v>
      </c>
      <c r="T669" s="16" t="s">
        <v>7478</v>
      </c>
      <c r="U669" s="16" t="s">
        <v>17</v>
      </c>
      <c r="V669" s="16" t="s">
        <v>7909</v>
      </c>
      <c r="W669" s="16" t="s">
        <v>17</v>
      </c>
      <c r="X669" s="16" t="s">
        <v>913</v>
      </c>
      <c r="Y669" s="16" t="s">
        <v>17</v>
      </c>
      <c r="Z669" s="16" t="s">
        <v>6926</v>
      </c>
    </row>
    <row r="670" spans="1:26" x14ac:dyDescent="0.3">
      <c r="A670" s="16">
        <v>669</v>
      </c>
      <c r="B670" s="16" t="s">
        <v>7006</v>
      </c>
      <c r="C670" s="17">
        <v>9780071351393</v>
      </c>
      <c r="D670" s="17">
        <v>9780071351393</v>
      </c>
      <c r="E670" s="16" t="s">
        <v>6920</v>
      </c>
      <c r="F670" s="16" t="s">
        <v>17</v>
      </c>
      <c r="G670" s="16" t="s">
        <v>17</v>
      </c>
      <c r="H670" s="16" t="s">
        <v>17</v>
      </c>
      <c r="I670" s="16" t="s">
        <v>17</v>
      </c>
      <c r="J670" s="16" t="s">
        <v>17</v>
      </c>
      <c r="K670" s="16" t="s">
        <v>76</v>
      </c>
      <c r="L670" s="16" t="s">
        <v>17</v>
      </c>
      <c r="M670" s="16" t="s">
        <v>7006</v>
      </c>
      <c r="N670" s="16" t="s">
        <v>17</v>
      </c>
      <c r="O670" s="16" t="s">
        <v>6921</v>
      </c>
      <c r="P670" s="16" t="s">
        <v>17</v>
      </c>
      <c r="Q670" s="16" t="s">
        <v>6922</v>
      </c>
      <c r="R670" s="16" t="s">
        <v>6923</v>
      </c>
      <c r="S670" s="16" t="s">
        <v>17</v>
      </c>
      <c r="T670" s="16" t="s">
        <v>6920</v>
      </c>
      <c r="U670" s="16" t="s">
        <v>17</v>
      </c>
      <c r="V670" s="16" t="s">
        <v>6924</v>
      </c>
      <c r="W670" s="16" t="s">
        <v>7007</v>
      </c>
      <c r="X670" s="16" t="s">
        <v>7006</v>
      </c>
      <c r="Y670" s="16" t="s">
        <v>17</v>
      </c>
      <c r="Z670" s="16" t="s">
        <v>6926</v>
      </c>
    </row>
    <row r="671" spans="1:26" x14ac:dyDescent="0.3">
      <c r="A671" s="16">
        <v>670</v>
      </c>
      <c r="B671" s="16" t="s">
        <v>7837</v>
      </c>
      <c r="C671" s="17">
        <v>9781260116892</v>
      </c>
      <c r="D671" s="17">
        <v>9781260116892</v>
      </c>
      <c r="E671" s="16" t="s">
        <v>7340</v>
      </c>
      <c r="F671" s="16" t="s">
        <v>17</v>
      </c>
      <c r="G671" s="16" t="s">
        <v>17</v>
      </c>
      <c r="H671" s="16" t="s">
        <v>17</v>
      </c>
      <c r="I671" s="16" t="s">
        <v>17</v>
      </c>
      <c r="J671" s="16" t="s">
        <v>17</v>
      </c>
      <c r="K671" s="16" t="s">
        <v>820</v>
      </c>
      <c r="L671" s="16" t="s">
        <v>7838</v>
      </c>
      <c r="M671" s="16" t="s">
        <v>7837</v>
      </c>
      <c r="N671" s="16" t="s">
        <v>17</v>
      </c>
      <c r="O671" s="16" t="s">
        <v>6921</v>
      </c>
      <c r="P671" s="16" t="s">
        <v>17</v>
      </c>
      <c r="Q671" s="16" t="s">
        <v>6922</v>
      </c>
      <c r="R671" s="16" t="s">
        <v>6923</v>
      </c>
      <c r="S671" s="16" t="s">
        <v>17</v>
      </c>
      <c r="T671" s="16" t="s">
        <v>7340</v>
      </c>
      <c r="U671" s="16" t="s">
        <v>17</v>
      </c>
      <c r="V671" s="16" t="s">
        <v>6949</v>
      </c>
      <c r="W671" s="16" t="s">
        <v>17</v>
      </c>
      <c r="X671" s="16" t="s">
        <v>7837</v>
      </c>
      <c r="Y671" s="16" t="s">
        <v>17</v>
      </c>
      <c r="Z671" s="16" t="s">
        <v>6926</v>
      </c>
    </row>
    <row r="672" spans="1:26" x14ac:dyDescent="0.3">
      <c r="A672" s="16">
        <v>671</v>
      </c>
      <c r="B672" s="16" t="s">
        <v>7544</v>
      </c>
      <c r="C672" s="17">
        <v>9780070592544</v>
      </c>
      <c r="D672" s="17">
        <v>9780070592544</v>
      </c>
      <c r="E672" s="16" t="s">
        <v>6920</v>
      </c>
      <c r="F672" s="16" t="s">
        <v>17</v>
      </c>
      <c r="G672" s="16" t="s">
        <v>17</v>
      </c>
      <c r="H672" s="16" t="s">
        <v>17</v>
      </c>
      <c r="I672" s="16" t="s">
        <v>17</v>
      </c>
      <c r="J672" s="16" t="s">
        <v>17</v>
      </c>
      <c r="K672" s="16" t="s">
        <v>534</v>
      </c>
      <c r="L672" s="16" t="s">
        <v>7528</v>
      </c>
      <c r="M672" s="16" t="s">
        <v>7544</v>
      </c>
      <c r="N672" s="16" t="s">
        <v>17</v>
      </c>
      <c r="O672" s="16" t="s">
        <v>6921</v>
      </c>
      <c r="P672" s="16" t="s">
        <v>17</v>
      </c>
      <c r="Q672" s="16" t="s">
        <v>6922</v>
      </c>
      <c r="R672" s="16" t="s">
        <v>6923</v>
      </c>
      <c r="S672" s="16" t="s">
        <v>17</v>
      </c>
      <c r="T672" s="16" t="s">
        <v>6920</v>
      </c>
      <c r="U672" s="16" t="s">
        <v>17</v>
      </c>
      <c r="V672" s="16" t="s">
        <v>6929</v>
      </c>
      <c r="W672" s="16" t="s">
        <v>17</v>
      </c>
      <c r="X672" s="16" t="s">
        <v>7544</v>
      </c>
      <c r="Y672" s="16" t="s">
        <v>17</v>
      </c>
      <c r="Z672" s="16" t="s">
        <v>6926</v>
      </c>
    </row>
    <row r="673" spans="1:26" x14ac:dyDescent="0.3">
      <c r="A673" s="16">
        <v>672</v>
      </c>
      <c r="B673" s="16" t="s">
        <v>1448</v>
      </c>
      <c r="C673" s="17">
        <v>9780071717915</v>
      </c>
      <c r="D673" s="17">
        <v>9780071717915</v>
      </c>
      <c r="E673" s="16" t="s">
        <v>6920</v>
      </c>
      <c r="F673" s="16" t="s">
        <v>17</v>
      </c>
      <c r="G673" s="16" t="s">
        <v>17</v>
      </c>
      <c r="H673" s="16" t="s">
        <v>17</v>
      </c>
      <c r="I673" s="16" t="s">
        <v>17</v>
      </c>
      <c r="J673" s="16" t="s">
        <v>17</v>
      </c>
      <c r="K673" s="16" t="s">
        <v>1450</v>
      </c>
      <c r="L673" s="16" t="s">
        <v>1449</v>
      </c>
      <c r="M673" s="16" t="s">
        <v>1448</v>
      </c>
      <c r="N673" s="16" t="s">
        <v>17</v>
      </c>
      <c r="O673" s="16" t="s">
        <v>6921</v>
      </c>
      <c r="P673" s="16" t="s">
        <v>17</v>
      </c>
      <c r="Q673" s="16" t="s">
        <v>6922</v>
      </c>
      <c r="R673" s="16" t="s">
        <v>6923</v>
      </c>
      <c r="S673" s="16" t="s">
        <v>17</v>
      </c>
      <c r="T673" s="16" t="s">
        <v>6920</v>
      </c>
      <c r="U673" s="16" t="s">
        <v>17</v>
      </c>
      <c r="V673" s="16" t="s">
        <v>7049</v>
      </c>
      <c r="W673" s="16" t="s">
        <v>17</v>
      </c>
      <c r="X673" s="16" t="s">
        <v>1448</v>
      </c>
      <c r="Y673" s="16" t="s">
        <v>17</v>
      </c>
      <c r="Z673" s="16" t="s">
        <v>6926</v>
      </c>
    </row>
    <row r="674" spans="1:26" x14ac:dyDescent="0.3">
      <c r="A674" s="16">
        <v>673</v>
      </c>
      <c r="B674" s="16" t="s">
        <v>7130</v>
      </c>
      <c r="C674" s="17">
        <v>9780070620902</v>
      </c>
      <c r="D674" s="17">
        <v>9780070620902</v>
      </c>
      <c r="E674" s="16" t="s">
        <v>6920</v>
      </c>
      <c r="F674" s="16" t="s">
        <v>17</v>
      </c>
      <c r="G674" s="16" t="s">
        <v>17</v>
      </c>
      <c r="H674" s="16" t="s">
        <v>17</v>
      </c>
      <c r="I674" s="16" t="s">
        <v>17</v>
      </c>
      <c r="J674" s="16" t="s">
        <v>17</v>
      </c>
      <c r="K674" s="16" t="s">
        <v>189</v>
      </c>
      <c r="L674" s="16" t="s">
        <v>7131</v>
      </c>
      <c r="M674" s="16" t="s">
        <v>7130</v>
      </c>
      <c r="N674" s="16" t="s">
        <v>17</v>
      </c>
      <c r="O674" s="16" t="s">
        <v>6921</v>
      </c>
      <c r="P674" s="16" t="s">
        <v>17</v>
      </c>
      <c r="Q674" s="16" t="s">
        <v>6922</v>
      </c>
      <c r="R674" s="16" t="s">
        <v>6923</v>
      </c>
      <c r="S674" s="16" t="s">
        <v>17</v>
      </c>
      <c r="T674" s="16" t="s">
        <v>6920</v>
      </c>
      <c r="U674" s="16" t="s">
        <v>17</v>
      </c>
      <c r="V674" s="16" t="s">
        <v>6929</v>
      </c>
      <c r="W674" s="16" t="s">
        <v>17</v>
      </c>
      <c r="X674" s="16" t="s">
        <v>7130</v>
      </c>
      <c r="Y674" s="16" t="s">
        <v>17</v>
      </c>
      <c r="Z674" s="16" t="s">
        <v>6926</v>
      </c>
    </row>
    <row r="675" spans="1:26" x14ac:dyDescent="0.3">
      <c r="A675" s="16">
        <v>674</v>
      </c>
      <c r="B675" s="16" t="s">
        <v>7290</v>
      </c>
      <c r="C675" s="17">
        <v>9781264842513</v>
      </c>
      <c r="D675" s="17">
        <v>9781264842513</v>
      </c>
      <c r="E675" s="16" t="s">
        <v>7291</v>
      </c>
      <c r="F675" s="16" t="s">
        <v>17</v>
      </c>
      <c r="G675" s="16" t="s">
        <v>17</v>
      </c>
      <c r="H675" s="16" t="s">
        <v>17</v>
      </c>
      <c r="I675" s="16" t="s">
        <v>17</v>
      </c>
      <c r="J675" s="16" t="s">
        <v>17</v>
      </c>
      <c r="K675" s="16" t="s">
        <v>313</v>
      </c>
      <c r="L675" s="16" t="s">
        <v>311</v>
      </c>
      <c r="M675" s="16" t="s">
        <v>7290</v>
      </c>
      <c r="N675" s="16" t="s">
        <v>17</v>
      </c>
      <c r="O675" s="16" t="s">
        <v>6921</v>
      </c>
      <c r="P675" s="16" t="s">
        <v>17</v>
      </c>
      <c r="Q675" s="16" t="s">
        <v>6922</v>
      </c>
      <c r="R675" s="16" t="s">
        <v>6923</v>
      </c>
      <c r="S675" s="16" t="s">
        <v>17</v>
      </c>
      <c r="T675" s="16" t="s">
        <v>7291</v>
      </c>
      <c r="U675" s="16" t="s">
        <v>17</v>
      </c>
      <c r="V675" s="16" t="s">
        <v>6929</v>
      </c>
      <c r="W675" s="16" t="s">
        <v>17</v>
      </c>
      <c r="X675" s="16" t="s">
        <v>7290</v>
      </c>
      <c r="Y675" s="16" t="s">
        <v>17</v>
      </c>
      <c r="Z675" s="16" t="s">
        <v>6926</v>
      </c>
    </row>
    <row r="676" spans="1:26" x14ac:dyDescent="0.3">
      <c r="A676" s="16">
        <v>675</v>
      </c>
      <c r="B676" s="16" t="s">
        <v>5849</v>
      </c>
      <c r="C676" s="17">
        <v>9780071636087</v>
      </c>
      <c r="D676" s="17">
        <v>9780071636087</v>
      </c>
      <c r="E676" s="16" t="s">
        <v>7057</v>
      </c>
      <c r="F676" s="16" t="s">
        <v>17</v>
      </c>
      <c r="G676" s="16" t="s">
        <v>17</v>
      </c>
      <c r="H676" s="16" t="s">
        <v>17</v>
      </c>
      <c r="I676" s="16" t="s">
        <v>17</v>
      </c>
      <c r="J676" s="16" t="s">
        <v>17</v>
      </c>
      <c r="K676" s="16" t="s">
        <v>618</v>
      </c>
      <c r="L676" s="16" t="s">
        <v>617</v>
      </c>
      <c r="M676" s="16" t="s">
        <v>5849</v>
      </c>
      <c r="N676" s="16" t="s">
        <v>17</v>
      </c>
      <c r="O676" s="16" t="s">
        <v>6921</v>
      </c>
      <c r="P676" s="16" t="s">
        <v>17</v>
      </c>
      <c r="Q676" s="16" t="s">
        <v>6922</v>
      </c>
      <c r="R676" s="16" t="s">
        <v>6923</v>
      </c>
      <c r="S676" s="16" t="s">
        <v>17</v>
      </c>
      <c r="T676" s="16" t="s">
        <v>7057</v>
      </c>
      <c r="U676" s="16" t="s">
        <v>17</v>
      </c>
      <c r="V676" s="16" t="s">
        <v>6929</v>
      </c>
      <c r="W676" s="16" t="s">
        <v>17</v>
      </c>
      <c r="X676" s="16" t="s">
        <v>5849</v>
      </c>
      <c r="Y676" s="16" t="s">
        <v>17</v>
      </c>
      <c r="Z676" s="16" t="s">
        <v>6926</v>
      </c>
    </row>
    <row r="677" spans="1:26" x14ac:dyDescent="0.3">
      <c r="A677" s="16">
        <v>676</v>
      </c>
      <c r="B677" s="16" t="s">
        <v>8111</v>
      </c>
      <c r="C677" s="17">
        <v>9781259643965</v>
      </c>
      <c r="D677" s="17">
        <v>9781259643965</v>
      </c>
      <c r="E677" s="16" t="s">
        <v>7578</v>
      </c>
      <c r="F677" s="16" t="s">
        <v>17</v>
      </c>
      <c r="G677" s="16" t="s">
        <v>17</v>
      </c>
      <c r="H677" s="16" t="s">
        <v>17</v>
      </c>
      <c r="I677" s="16" t="s">
        <v>17</v>
      </c>
      <c r="J677" s="16" t="s">
        <v>17</v>
      </c>
      <c r="K677" s="16" t="s">
        <v>1196</v>
      </c>
      <c r="L677" s="16" t="s">
        <v>1195</v>
      </c>
      <c r="M677" s="16" t="s">
        <v>8111</v>
      </c>
      <c r="N677" s="16" t="s">
        <v>17</v>
      </c>
      <c r="O677" s="16" t="s">
        <v>6921</v>
      </c>
      <c r="P677" s="16" t="s">
        <v>17</v>
      </c>
      <c r="Q677" s="16" t="s">
        <v>6922</v>
      </c>
      <c r="R677" s="16" t="s">
        <v>6923</v>
      </c>
      <c r="S677" s="16" t="s">
        <v>17</v>
      </c>
      <c r="T677" s="16" t="s">
        <v>7578</v>
      </c>
      <c r="U677" s="16" t="s">
        <v>17</v>
      </c>
      <c r="V677" s="16" t="s">
        <v>6924</v>
      </c>
      <c r="W677" s="16" t="s">
        <v>17</v>
      </c>
      <c r="X677" s="16" t="s">
        <v>8111</v>
      </c>
      <c r="Y677" s="16" t="s">
        <v>17</v>
      </c>
      <c r="Z677" s="16" t="s">
        <v>6926</v>
      </c>
    </row>
    <row r="678" spans="1:26" x14ac:dyDescent="0.3">
      <c r="A678" s="16">
        <v>677</v>
      </c>
      <c r="B678" s="16" t="s">
        <v>8156</v>
      </c>
      <c r="C678" s="17">
        <v>9781260455410</v>
      </c>
      <c r="D678" s="17">
        <v>9781260455410</v>
      </c>
      <c r="E678" s="16" t="s">
        <v>7495</v>
      </c>
      <c r="F678" s="16" t="s">
        <v>17</v>
      </c>
      <c r="G678" s="16" t="s">
        <v>17</v>
      </c>
      <c r="H678" s="16" t="s">
        <v>17</v>
      </c>
      <c r="I678" s="16" t="s">
        <v>17</v>
      </c>
      <c r="J678" s="16" t="s">
        <v>17</v>
      </c>
      <c r="K678" s="16" t="s">
        <v>1243</v>
      </c>
      <c r="L678" s="16" t="s">
        <v>8157</v>
      </c>
      <c r="M678" s="16" t="s">
        <v>8156</v>
      </c>
      <c r="N678" s="16" t="s">
        <v>17</v>
      </c>
      <c r="O678" s="16" t="s">
        <v>6921</v>
      </c>
      <c r="P678" s="16" t="s">
        <v>17</v>
      </c>
      <c r="Q678" s="16" t="s">
        <v>6922</v>
      </c>
      <c r="R678" s="16" t="s">
        <v>6923</v>
      </c>
      <c r="S678" s="16" t="s">
        <v>17</v>
      </c>
      <c r="T678" s="16" t="s">
        <v>7495</v>
      </c>
      <c r="U678" s="16" t="s">
        <v>17</v>
      </c>
      <c r="V678" s="16" t="s">
        <v>7359</v>
      </c>
      <c r="W678" s="16" t="s">
        <v>17</v>
      </c>
      <c r="X678" s="16" t="s">
        <v>8156</v>
      </c>
      <c r="Y678" s="16" t="s">
        <v>17</v>
      </c>
      <c r="Z678" s="16" t="s">
        <v>6926</v>
      </c>
    </row>
    <row r="679" spans="1:26" x14ac:dyDescent="0.3">
      <c r="A679" s="16">
        <v>678</v>
      </c>
      <c r="B679" s="16" t="s">
        <v>8337</v>
      </c>
      <c r="C679" s="17">
        <v>9780071436731</v>
      </c>
      <c r="D679" s="17">
        <v>9780071436731</v>
      </c>
      <c r="E679" s="16" t="s">
        <v>6920</v>
      </c>
      <c r="F679" s="16" t="s">
        <v>17</v>
      </c>
      <c r="G679" s="16" t="s">
        <v>17</v>
      </c>
      <c r="H679" s="16" t="s">
        <v>17</v>
      </c>
      <c r="I679" s="16" t="s">
        <v>17</v>
      </c>
      <c r="J679" s="16" t="s">
        <v>17</v>
      </c>
      <c r="K679" s="16" t="s">
        <v>1419</v>
      </c>
      <c r="L679" s="16" t="s">
        <v>1418</v>
      </c>
      <c r="M679" s="16" t="s">
        <v>8337</v>
      </c>
      <c r="N679" s="16" t="s">
        <v>17</v>
      </c>
      <c r="O679" s="16" t="s">
        <v>6921</v>
      </c>
      <c r="P679" s="16" t="s">
        <v>17</v>
      </c>
      <c r="Q679" s="16" t="s">
        <v>6922</v>
      </c>
      <c r="R679" s="16" t="s">
        <v>6923</v>
      </c>
      <c r="S679" s="16" t="s">
        <v>17</v>
      </c>
      <c r="T679" s="16" t="s">
        <v>6920</v>
      </c>
      <c r="U679" s="16" t="s">
        <v>17</v>
      </c>
      <c r="V679" s="16" t="s">
        <v>8338</v>
      </c>
      <c r="W679" s="16" t="s">
        <v>17</v>
      </c>
      <c r="X679" s="16" t="s">
        <v>8337</v>
      </c>
      <c r="Y679" s="16" t="s">
        <v>17</v>
      </c>
      <c r="Z679" s="16" t="s">
        <v>6926</v>
      </c>
    </row>
    <row r="680" spans="1:26" x14ac:dyDescent="0.3">
      <c r="A680" s="16">
        <v>679</v>
      </c>
      <c r="B680" s="16" t="s">
        <v>7750</v>
      </c>
      <c r="C680" s="17">
        <v>9780071738606</v>
      </c>
      <c r="D680" s="17">
        <v>9780071738606</v>
      </c>
      <c r="E680" s="16" t="s">
        <v>7372</v>
      </c>
      <c r="F680" s="16" t="s">
        <v>17</v>
      </c>
      <c r="G680" s="16" t="s">
        <v>17</v>
      </c>
      <c r="H680" s="16" t="s">
        <v>17</v>
      </c>
      <c r="I680" s="16" t="s">
        <v>17</v>
      </c>
      <c r="J680" s="16" t="s">
        <v>17</v>
      </c>
      <c r="K680" s="16" t="s">
        <v>735</v>
      </c>
      <c r="L680" s="16" t="s">
        <v>17</v>
      </c>
      <c r="M680" s="16" t="s">
        <v>7750</v>
      </c>
      <c r="N680" s="16" t="s">
        <v>17</v>
      </c>
      <c r="O680" s="16" t="s">
        <v>6921</v>
      </c>
      <c r="P680" s="16" t="s">
        <v>17</v>
      </c>
      <c r="Q680" s="16" t="s">
        <v>6922</v>
      </c>
      <c r="R680" s="16" t="s">
        <v>6923</v>
      </c>
      <c r="S680" s="16" t="s">
        <v>17</v>
      </c>
      <c r="T680" s="16" t="s">
        <v>7372</v>
      </c>
      <c r="U680" s="16" t="s">
        <v>17</v>
      </c>
      <c r="V680" s="16" t="s">
        <v>6949</v>
      </c>
      <c r="W680" s="16" t="s">
        <v>17</v>
      </c>
      <c r="X680" s="16" t="s">
        <v>7750</v>
      </c>
      <c r="Y680" s="16" t="s">
        <v>17</v>
      </c>
      <c r="Z680" s="16" t="s">
        <v>6926</v>
      </c>
    </row>
    <row r="681" spans="1:26" x14ac:dyDescent="0.3">
      <c r="A681" s="16">
        <v>680</v>
      </c>
      <c r="B681" s="16" t="s">
        <v>8017</v>
      </c>
      <c r="C681" s="17">
        <v>9781260456424</v>
      </c>
      <c r="D681" s="17">
        <v>9781260456424</v>
      </c>
      <c r="E681" s="16" t="s">
        <v>7538</v>
      </c>
      <c r="F681" s="16" t="s">
        <v>17</v>
      </c>
      <c r="G681" s="16" t="s">
        <v>17</v>
      </c>
      <c r="H681" s="16" t="s">
        <v>17</v>
      </c>
      <c r="I681" s="16" t="s">
        <v>17</v>
      </c>
      <c r="J681" s="16" t="s">
        <v>17</v>
      </c>
      <c r="K681" s="16" t="s">
        <v>1078</v>
      </c>
      <c r="L681" s="16" t="s">
        <v>17</v>
      </c>
      <c r="M681" s="16" t="s">
        <v>8017</v>
      </c>
      <c r="N681" s="16" t="s">
        <v>17</v>
      </c>
      <c r="O681" s="16" t="s">
        <v>6921</v>
      </c>
      <c r="P681" s="16" t="s">
        <v>17</v>
      </c>
      <c r="Q681" s="16" t="s">
        <v>6922</v>
      </c>
      <c r="R681" s="16" t="s">
        <v>6923</v>
      </c>
      <c r="S681" s="16" t="s">
        <v>17</v>
      </c>
      <c r="T681" s="16" t="s">
        <v>7538</v>
      </c>
      <c r="U681" s="16" t="s">
        <v>17</v>
      </c>
      <c r="V681" s="16" t="s">
        <v>6929</v>
      </c>
      <c r="W681" s="16" t="s">
        <v>272</v>
      </c>
      <c r="X681" s="16" t="s">
        <v>8017</v>
      </c>
      <c r="Y681" s="16" t="s">
        <v>17</v>
      </c>
      <c r="Z681" s="16" t="s">
        <v>6926</v>
      </c>
    </row>
    <row r="682" spans="1:26" x14ac:dyDescent="0.3">
      <c r="A682" s="16">
        <v>681</v>
      </c>
      <c r="B682" s="16" t="s">
        <v>7540</v>
      </c>
      <c r="C682" s="17">
        <v>9781260474312</v>
      </c>
      <c r="D682" s="17">
        <v>9781260474312</v>
      </c>
      <c r="E682" s="16" t="s">
        <v>7318</v>
      </c>
      <c r="F682" s="16" t="s">
        <v>17</v>
      </c>
      <c r="G682" s="16" t="s">
        <v>17</v>
      </c>
      <c r="H682" s="16" t="s">
        <v>17</v>
      </c>
      <c r="I682" s="16" t="s">
        <v>17</v>
      </c>
      <c r="J682" s="16" t="s">
        <v>17</v>
      </c>
      <c r="K682" s="16" t="s">
        <v>532</v>
      </c>
      <c r="L682" s="16" t="s">
        <v>7541</v>
      </c>
      <c r="M682" s="16" t="s">
        <v>7540</v>
      </c>
      <c r="N682" s="16" t="s">
        <v>17</v>
      </c>
      <c r="O682" s="16" t="s">
        <v>6921</v>
      </c>
      <c r="P682" s="16" t="s">
        <v>17</v>
      </c>
      <c r="Q682" s="16" t="s">
        <v>6922</v>
      </c>
      <c r="R682" s="16" t="s">
        <v>6923</v>
      </c>
      <c r="S682" s="16" t="s">
        <v>17</v>
      </c>
      <c r="T682" s="16" t="s">
        <v>7318</v>
      </c>
      <c r="U682" s="16" t="s">
        <v>17</v>
      </c>
      <c r="V682" s="16" t="s">
        <v>7072</v>
      </c>
      <c r="W682" s="16" t="s">
        <v>17</v>
      </c>
      <c r="X682" s="16" t="s">
        <v>7540</v>
      </c>
      <c r="Y682" s="16" t="s">
        <v>17</v>
      </c>
      <c r="Z682" s="16" t="s">
        <v>6926</v>
      </c>
    </row>
    <row r="683" spans="1:26" x14ac:dyDescent="0.3">
      <c r="A683" s="16">
        <v>682</v>
      </c>
      <c r="B683" s="16" t="s">
        <v>7923</v>
      </c>
      <c r="C683" s="17">
        <v>9780071789752</v>
      </c>
      <c r="D683" s="17">
        <v>9780071789752</v>
      </c>
      <c r="E683" s="16" t="s">
        <v>7827</v>
      </c>
      <c r="F683" s="16" t="s">
        <v>17</v>
      </c>
      <c r="G683" s="16" t="s">
        <v>17</v>
      </c>
      <c r="H683" s="16" t="s">
        <v>17</v>
      </c>
      <c r="I683" s="16" t="s">
        <v>17</v>
      </c>
      <c r="J683" s="16" t="s">
        <v>17</v>
      </c>
      <c r="K683" s="16" t="s">
        <v>939</v>
      </c>
      <c r="L683" s="16" t="s">
        <v>17</v>
      </c>
      <c r="M683" s="16" t="s">
        <v>7923</v>
      </c>
      <c r="N683" s="16" t="s">
        <v>17</v>
      </c>
      <c r="O683" s="16" t="s">
        <v>6921</v>
      </c>
      <c r="P683" s="16" t="s">
        <v>17</v>
      </c>
      <c r="Q683" s="16" t="s">
        <v>6922</v>
      </c>
      <c r="R683" s="16" t="s">
        <v>6923</v>
      </c>
      <c r="S683" s="16" t="s">
        <v>17</v>
      </c>
      <c r="T683" s="16" t="s">
        <v>7827</v>
      </c>
      <c r="U683" s="16" t="s">
        <v>17</v>
      </c>
      <c r="V683" s="16" t="s">
        <v>6949</v>
      </c>
      <c r="W683" s="16" t="s">
        <v>938</v>
      </c>
      <c r="X683" s="16" t="s">
        <v>7923</v>
      </c>
      <c r="Y683" s="16" t="s">
        <v>17</v>
      </c>
      <c r="Z683" s="16" t="s">
        <v>6926</v>
      </c>
    </row>
    <row r="684" spans="1:26" x14ac:dyDescent="0.3">
      <c r="A684" s="16">
        <v>683</v>
      </c>
      <c r="B684" s="16" t="s">
        <v>855</v>
      </c>
      <c r="C684" s="17">
        <v>9780070411074</v>
      </c>
      <c r="D684" s="17">
        <v>9780070411074</v>
      </c>
      <c r="E684" s="16" t="s">
        <v>6920</v>
      </c>
      <c r="F684" s="16" t="s">
        <v>17</v>
      </c>
      <c r="G684" s="16" t="s">
        <v>17</v>
      </c>
      <c r="H684" s="16" t="s">
        <v>17</v>
      </c>
      <c r="I684" s="16" t="s">
        <v>17</v>
      </c>
      <c r="J684" s="16" t="s">
        <v>17</v>
      </c>
      <c r="K684" s="16" t="s">
        <v>857</v>
      </c>
      <c r="L684" s="16" t="s">
        <v>856</v>
      </c>
      <c r="M684" s="16" t="s">
        <v>855</v>
      </c>
      <c r="N684" s="16" t="s">
        <v>17</v>
      </c>
      <c r="O684" s="16" t="s">
        <v>6921</v>
      </c>
      <c r="P684" s="16" t="s">
        <v>17</v>
      </c>
      <c r="Q684" s="16" t="s">
        <v>6922</v>
      </c>
      <c r="R684" s="16" t="s">
        <v>6923</v>
      </c>
      <c r="S684" s="16" t="s">
        <v>17</v>
      </c>
      <c r="T684" s="16" t="s">
        <v>6920</v>
      </c>
      <c r="U684" s="16" t="s">
        <v>17</v>
      </c>
      <c r="V684" s="16" t="s">
        <v>7049</v>
      </c>
      <c r="W684" s="16" t="s">
        <v>17</v>
      </c>
      <c r="X684" s="16" t="s">
        <v>855</v>
      </c>
      <c r="Y684" s="16" t="s">
        <v>17</v>
      </c>
      <c r="Z684" s="16" t="s">
        <v>6926</v>
      </c>
    </row>
    <row r="685" spans="1:26" x14ac:dyDescent="0.3">
      <c r="A685" s="16">
        <v>684</v>
      </c>
      <c r="B685" s="16" t="s">
        <v>8148</v>
      </c>
      <c r="C685" s="17">
        <v>9780071833950</v>
      </c>
      <c r="D685" s="17">
        <v>9780071833950</v>
      </c>
      <c r="E685" s="16" t="s">
        <v>7083</v>
      </c>
      <c r="F685" s="16" t="s">
        <v>17</v>
      </c>
      <c r="G685" s="16" t="s">
        <v>17</v>
      </c>
      <c r="H685" s="16" t="s">
        <v>17</v>
      </c>
      <c r="I685" s="16" t="s">
        <v>17</v>
      </c>
      <c r="J685" s="16" t="s">
        <v>17</v>
      </c>
      <c r="K685" s="16" t="s">
        <v>1236</v>
      </c>
      <c r="L685" s="16" t="s">
        <v>17</v>
      </c>
      <c r="M685" s="16" t="s">
        <v>8148</v>
      </c>
      <c r="N685" s="16" t="s">
        <v>17</v>
      </c>
      <c r="O685" s="16" t="s">
        <v>6921</v>
      </c>
      <c r="P685" s="16" t="s">
        <v>17</v>
      </c>
      <c r="Q685" s="16" t="s">
        <v>6922</v>
      </c>
      <c r="R685" s="16" t="s">
        <v>6923</v>
      </c>
      <c r="S685" s="16" t="s">
        <v>17</v>
      </c>
      <c r="T685" s="16" t="s">
        <v>7083</v>
      </c>
      <c r="U685" s="16" t="s">
        <v>17</v>
      </c>
      <c r="V685" s="16" t="s">
        <v>7145</v>
      </c>
      <c r="W685" s="16" t="s">
        <v>7482</v>
      </c>
      <c r="X685" s="16" t="s">
        <v>8148</v>
      </c>
      <c r="Y685" s="16" t="s">
        <v>17</v>
      </c>
      <c r="Z685" s="16" t="s">
        <v>6926</v>
      </c>
    </row>
    <row r="686" spans="1:26" x14ac:dyDescent="0.3">
      <c r="A686" s="16">
        <v>685</v>
      </c>
      <c r="B686" s="16" t="s">
        <v>1121</v>
      </c>
      <c r="C686" s="17">
        <v>9780071467346</v>
      </c>
      <c r="D686" s="17">
        <v>9780071467346</v>
      </c>
      <c r="E686" s="16" t="s">
        <v>8045</v>
      </c>
      <c r="F686" s="16" t="s">
        <v>17</v>
      </c>
      <c r="G686" s="16" t="s">
        <v>17</v>
      </c>
      <c r="H686" s="16" t="s">
        <v>17</v>
      </c>
      <c r="I686" s="16" t="s">
        <v>17</v>
      </c>
      <c r="J686" s="16" t="s">
        <v>17</v>
      </c>
      <c r="K686" s="16" t="s">
        <v>1123</v>
      </c>
      <c r="L686" s="16" t="s">
        <v>1122</v>
      </c>
      <c r="M686" s="16" t="s">
        <v>1121</v>
      </c>
      <c r="N686" s="16" t="s">
        <v>17</v>
      </c>
      <c r="O686" s="16" t="s">
        <v>6921</v>
      </c>
      <c r="P686" s="16" t="s">
        <v>17</v>
      </c>
      <c r="Q686" s="16" t="s">
        <v>6922</v>
      </c>
      <c r="R686" s="16" t="s">
        <v>6923</v>
      </c>
      <c r="S686" s="16" t="s">
        <v>17</v>
      </c>
      <c r="T686" s="16" t="s">
        <v>8045</v>
      </c>
      <c r="U686" s="16" t="s">
        <v>17</v>
      </c>
      <c r="V686" s="16" t="s">
        <v>7276</v>
      </c>
      <c r="W686" s="16" t="s">
        <v>17</v>
      </c>
      <c r="X686" s="16" t="s">
        <v>1121</v>
      </c>
      <c r="Y686" s="16" t="s">
        <v>17</v>
      </c>
      <c r="Z686" s="16" t="s">
        <v>6926</v>
      </c>
    </row>
    <row r="687" spans="1:26" x14ac:dyDescent="0.3">
      <c r="A687" s="16">
        <v>686</v>
      </c>
      <c r="B687" s="16" t="s">
        <v>8419</v>
      </c>
      <c r="C687" s="17">
        <v>9780071770613</v>
      </c>
      <c r="D687" s="17">
        <v>9780071770613</v>
      </c>
      <c r="E687" s="16" t="s">
        <v>8420</v>
      </c>
      <c r="F687" s="16" t="s">
        <v>17</v>
      </c>
      <c r="G687" s="16" t="s">
        <v>17</v>
      </c>
      <c r="H687" s="16" t="s">
        <v>17</v>
      </c>
      <c r="I687" s="16" t="s">
        <v>17</v>
      </c>
      <c r="J687" s="16" t="s">
        <v>17</v>
      </c>
      <c r="K687" s="16" t="s">
        <v>1611</v>
      </c>
      <c r="L687" s="16" t="s">
        <v>8421</v>
      </c>
      <c r="M687" s="16" t="s">
        <v>8419</v>
      </c>
      <c r="N687" s="16" t="s">
        <v>17</v>
      </c>
      <c r="O687" s="16" t="s">
        <v>6921</v>
      </c>
      <c r="P687" s="16" t="s">
        <v>17</v>
      </c>
      <c r="Q687" s="16" t="s">
        <v>6922</v>
      </c>
      <c r="R687" s="16" t="s">
        <v>6923</v>
      </c>
      <c r="S687" s="16" t="s">
        <v>17</v>
      </c>
      <c r="T687" s="16" t="s">
        <v>8420</v>
      </c>
      <c r="U687" s="16" t="s">
        <v>17</v>
      </c>
      <c r="V687" s="16" t="s">
        <v>6929</v>
      </c>
      <c r="W687" s="16" t="s">
        <v>17</v>
      </c>
      <c r="X687" s="16" t="s">
        <v>8419</v>
      </c>
      <c r="Y687" s="16" t="s">
        <v>17</v>
      </c>
      <c r="Z687" s="16" t="s">
        <v>6926</v>
      </c>
    </row>
    <row r="688" spans="1:26" x14ac:dyDescent="0.3">
      <c r="A688" s="16">
        <v>687</v>
      </c>
      <c r="B688" s="16" t="s">
        <v>8318</v>
      </c>
      <c r="C688" s="17">
        <v>9780071770200</v>
      </c>
      <c r="D688" s="17">
        <v>9780071770200</v>
      </c>
      <c r="E688" s="16" t="s">
        <v>7118</v>
      </c>
      <c r="F688" s="16" t="s">
        <v>17</v>
      </c>
      <c r="G688" s="16" t="s">
        <v>17</v>
      </c>
      <c r="H688" s="16" t="s">
        <v>17</v>
      </c>
      <c r="I688" s="16" t="s">
        <v>17</v>
      </c>
      <c r="J688" s="16" t="s">
        <v>17</v>
      </c>
      <c r="K688" s="16" t="s">
        <v>1373</v>
      </c>
      <c r="L688" s="16" t="s">
        <v>7653</v>
      </c>
      <c r="M688" s="16" t="s">
        <v>8318</v>
      </c>
      <c r="N688" s="16" t="s">
        <v>17</v>
      </c>
      <c r="O688" s="16" t="s">
        <v>6921</v>
      </c>
      <c r="P688" s="16" t="s">
        <v>17</v>
      </c>
      <c r="Q688" s="16" t="s">
        <v>6922</v>
      </c>
      <c r="R688" s="16" t="s">
        <v>6923</v>
      </c>
      <c r="S688" s="16" t="s">
        <v>17</v>
      </c>
      <c r="T688" s="16" t="s">
        <v>7118</v>
      </c>
      <c r="U688" s="16" t="s">
        <v>17</v>
      </c>
      <c r="V688" s="16" t="s">
        <v>6929</v>
      </c>
      <c r="W688" s="16" t="s">
        <v>17</v>
      </c>
      <c r="X688" s="16" t="s">
        <v>8318</v>
      </c>
      <c r="Y688" s="16" t="s">
        <v>17</v>
      </c>
      <c r="Z688" s="16" t="s">
        <v>6926</v>
      </c>
    </row>
    <row r="689" spans="1:26" x14ac:dyDescent="0.3">
      <c r="A689" s="16">
        <v>688</v>
      </c>
      <c r="B689" s="16" t="s">
        <v>8250</v>
      </c>
      <c r="C689" s="17">
        <v>9780071817660</v>
      </c>
      <c r="D689" s="17">
        <v>9780071817660</v>
      </c>
      <c r="E689" s="16" t="s">
        <v>7865</v>
      </c>
      <c r="F689" s="16" t="s">
        <v>17</v>
      </c>
      <c r="G689" s="16" t="s">
        <v>17</v>
      </c>
      <c r="H689" s="16" t="s">
        <v>17</v>
      </c>
      <c r="I689" s="16" t="s">
        <v>17</v>
      </c>
      <c r="J689" s="16" t="s">
        <v>17</v>
      </c>
      <c r="K689" s="16" t="s">
        <v>1323</v>
      </c>
      <c r="L689" s="16" t="s">
        <v>1322</v>
      </c>
      <c r="M689" s="16" t="s">
        <v>8250</v>
      </c>
      <c r="N689" s="16" t="s">
        <v>17</v>
      </c>
      <c r="O689" s="16" t="s">
        <v>6921</v>
      </c>
      <c r="P689" s="16" t="s">
        <v>17</v>
      </c>
      <c r="Q689" s="16" t="s">
        <v>6922</v>
      </c>
      <c r="R689" s="16" t="s">
        <v>6923</v>
      </c>
      <c r="S689" s="16" t="s">
        <v>17</v>
      </c>
      <c r="T689" s="16" t="s">
        <v>7865</v>
      </c>
      <c r="U689" s="16" t="s">
        <v>17</v>
      </c>
      <c r="V689" s="16" t="s">
        <v>6929</v>
      </c>
      <c r="W689" s="16" t="s">
        <v>17</v>
      </c>
      <c r="X689" s="16" t="s">
        <v>8250</v>
      </c>
      <c r="Y689" s="16" t="s">
        <v>17</v>
      </c>
      <c r="Z689" s="16" t="s">
        <v>6926</v>
      </c>
    </row>
    <row r="690" spans="1:26" x14ac:dyDescent="0.3">
      <c r="A690" s="16">
        <v>689</v>
      </c>
      <c r="B690" s="16" t="s">
        <v>7331</v>
      </c>
      <c r="C690" s="17">
        <v>9781260117974</v>
      </c>
      <c r="D690" s="17">
        <v>9781260117974</v>
      </c>
      <c r="E690" s="16" t="s">
        <v>7332</v>
      </c>
      <c r="F690" s="16" t="s">
        <v>17</v>
      </c>
      <c r="G690" s="16" t="s">
        <v>17</v>
      </c>
      <c r="H690" s="16" t="s">
        <v>17</v>
      </c>
      <c r="I690" s="16" t="s">
        <v>17</v>
      </c>
      <c r="J690" s="16" t="s">
        <v>17</v>
      </c>
      <c r="K690" s="16" t="s">
        <v>356</v>
      </c>
      <c r="L690" s="16" t="s">
        <v>17</v>
      </c>
      <c r="M690" s="16" t="s">
        <v>7331</v>
      </c>
      <c r="N690" s="16" t="s">
        <v>17</v>
      </c>
      <c r="O690" s="16" t="s">
        <v>6921</v>
      </c>
      <c r="P690" s="16" t="s">
        <v>17</v>
      </c>
      <c r="Q690" s="16" t="s">
        <v>6922</v>
      </c>
      <c r="R690" s="16" t="s">
        <v>6923</v>
      </c>
      <c r="S690" s="16" t="s">
        <v>17</v>
      </c>
      <c r="T690" s="16" t="s">
        <v>7332</v>
      </c>
      <c r="U690" s="16" t="s">
        <v>17</v>
      </c>
      <c r="V690" s="16" t="s">
        <v>7072</v>
      </c>
      <c r="W690" s="16" t="s">
        <v>7333</v>
      </c>
      <c r="X690" s="16" t="s">
        <v>7331</v>
      </c>
      <c r="Y690" s="16" t="s">
        <v>17</v>
      </c>
      <c r="Z690" s="16" t="s">
        <v>6926</v>
      </c>
    </row>
    <row r="691" spans="1:26" x14ac:dyDescent="0.3">
      <c r="A691" s="16">
        <v>690</v>
      </c>
      <c r="B691" s="16" t="s">
        <v>8366</v>
      </c>
      <c r="C691" s="17">
        <v>9780070125827</v>
      </c>
      <c r="D691" s="17">
        <v>9780070125827</v>
      </c>
      <c r="E691" s="16" t="s">
        <v>7036</v>
      </c>
      <c r="F691" s="16" t="s">
        <v>17</v>
      </c>
      <c r="G691" s="16" t="s">
        <v>17</v>
      </c>
      <c r="H691" s="16" t="s">
        <v>17</v>
      </c>
      <c r="I691" s="16" t="s">
        <v>17</v>
      </c>
      <c r="J691" s="16" t="s">
        <v>17</v>
      </c>
      <c r="K691" s="16" t="s">
        <v>1493</v>
      </c>
      <c r="L691" s="16" t="s">
        <v>355</v>
      </c>
      <c r="M691" s="16" t="s">
        <v>8366</v>
      </c>
      <c r="N691" s="16" t="s">
        <v>17</v>
      </c>
      <c r="O691" s="16" t="s">
        <v>6921</v>
      </c>
      <c r="P691" s="16" t="s">
        <v>17</v>
      </c>
      <c r="Q691" s="16" t="s">
        <v>6922</v>
      </c>
      <c r="R691" s="16" t="s">
        <v>6923</v>
      </c>
      <c r="S691" s="16" t="s">
        <v>17</v>
      </c>
      <c r="T691" s="16" t="s">
        <v>7036</v>
      </c>
      <c r="U691" s="16" t="s">
        <v>17</v>
      </c>
      <c r="V691" s="16" t="s">
        <v>8367</v>
      </c>
      <c r="W691" s="16" t="s">
        <v>17</v>
      </c>
      <c r="X691" s="16" t="s">
        <v>8366</v>
      </c>
      <c r="Y691" s="16" t="s">
        <v>17</v>
      </c>
      <c r="Z691" s="16" t="s">
        <v>6926</v>
      </c>
    </row>
    <row r="692" spans="1:26" x14ac:dyDescent="0.3">
      <c r="A692" s="16">
        <v>691</v>
      </c>
      <c r="B692" s="16" t="s">
        <v>7654</v>
      </c>
      <c r="C692" s="17">
        <v>9781260468540</v>
      </c>
      <c r="D692" s="17">
        <v>9781260468540</v>
      </c>
      <c r="E692" s="16" t="s">
        <v>7655</v>
      </c>
      <c r="F692" s="16" t="s">
        <v>17</v>
      </c>
      <c r="G692" s="16" t="s">
        <v>17</v>
      </c>
      <c r="H692" s="16" t="s">
        <v>17</v>
      </c>
      <c r="I692" s="16" t="s">
        <v>17</v>
      </c>
      <c r="J692" s="16" t="s">
        <v>17</v>
      </c>
      <c r="K692" s="16" t="s">
        <v>643</v>
      </c>
      <c r="L692" s="16" t="s">
        <v>642</v>
      </c>
      <c r="M692" s="16" t="s">
        <v>7654</v>
      </c>
      <c r="N692" s="16" t="s">
        <v>17</v>
      </c>
      <c r="O692" s="16" t="s">
        <v>6921</v>
      </c>
      <c r="P692" s="16" t="s">
        <v>17</v>
      </c>
      <c r="Q692" s="16" t="s">
        <v>6922</v>
      </c>
      <c r="R692" s="16" t="s">
        <v>6923</v>
      </c>
      <c r="S692" s="16" t="s">
        <v>17</v>
      </c>
      <c r="T692" s="16" t="s">
        <v>7655</v>
      </c>
      <c r="U692" s="16" t="s">
        <v>17</v>
      </c>
      <c r="V692" s="16" t="s">
        <v>6949</v>
      </c>
      <c r="W692" s="16" t="s">
        <v>17</v>
      </c>
      <c r="X692" s="16" t="s">
        <v>7654</v>
      </c>
      <c r="Y692" s="16" t="s">
        <v>17</v>
      </c>
      <c r="Z692" s="16" t="s">
        <v>6926</v>
      </c>
    </row>
    <row r="693" spans="1:26" x14ac:dyDescent="0.3">
      <c r="A693" s="16">
        <v>692</v>
      </c>
      <c r="B693" s="16" t="s">
        <v>7654</v>
      </c>
      <c r="C693" s="17">
        <v>9780071824507</v>
      </c>
      <c r="D693" s="17">
        <v>9780071824507</v>
      </c>
      <c r="E693" s="16" t="s">
        <v>7840</v>
      </c>
      <c r="F693" s="16" t="s">
        <v>17</v>
      </c>
      <c r="G693" s="16" t="s">
        <v>17</v>
      </c>
      <c r="H693" s="16" t="s">
        <v>17</v>
      </c>
      <c r="I693" s="16" t="s">
        <v>17</v>
      </c>
      <c r="J693" s="16" t="s">
        <v>17</v>
      </c>
      <c r="K693" s="16" t="s">
        <v>825</v>
      </c>
      <c r="L693" s="16" t="s">
        <v>642</v>
      </c>
      <c r="M693" s="16" t="s">
        <v>7654</v>
      </c>
      <c r="N693" s="16" t="s">
        <v>17</v>
      </c>
      <c r="O693" s="16" t="s">
        <v>6921</v>
      </c>
      <c r="P693" s="16" t="s">
        <v>17</v>
      </c>
      <c r="Q693" s="16" t="s">
        <v>6922</v>
      </c>
      <c r="R693" s="16" t="s">
        <v>6923</v>
      </c>
      <c r="S693" s="16" t="s">
        <v>17</v>
      </c>
      <c r="T693" s="16" t="s">
        <v>7840</v>
      </c>
      <c r="U693" s="16" t="s">
        <v>17</v>
      </c>
      <c r="V693" s="16" t="s">
        <v>6924</v>
      </c>
      <c r="W693" s="16" t="s">
        <v>17</v>
      </c>
      <c r="X693" s="16" t="s">
        <v>7654</v>
      </c>
      <c r="Y693" s="16" t="s">
        <v>17</v>
      </c>
      <c r="Z693" s="16" t="s">
        <v>6926</v>
      </c>
    </row>
    <row r="694" spans="1:26" x14ac:dyDescent="0.3">
      <c r="A694" s="16">
        <v>693</v>
      </c>
      <c r="B694" s="16" t="s">
        <v>1519</v>
      </c>
      <c r="C694" s="17">
        <v>9780071805469</v>
      </c>
      <c r="D694" s="17">
        <v>9780071805469</v>
      </c>
      <c r="E694" s="16" t="s">
        <v>7840</v>
      </c>
      <c r="F694" s="16" t="s">
        <v>17</v>
      </c>
      <c r="G694" s="16" t="s">
        <v>17</v>
      </c>
      <c r="H694" s="16" t="s">
        <v>17</v>
      </c>
      <c r="I694" s="16" t="s">
        <v>17</v>
      </c>
      <c r="J694" s="16" t="s">
        <v>17</v>
      </c>
      <c r="K694" s="16" t="s">
        <v>1520</v>
      </c>
      <c r="L694" s="16" t="s">
        <v>642</v>
      </c>
      <c r="M694" s="16" t="s">
        <v>1519</v>
      </c>
      <c r="N694" s="16" t="s">
        <v>17</v>
      </c>
      <c r="O694" s="16" t="s">
        <v>6921</v>
      </c>
      <c r="P694" s="16" t="s">
        <v>17</v>
      </c>
      <c r="Q694" s="16" t="s">
        <v>6922</v>
      </c>
      <c r="R694" s="16" t="s">
        <v>6923</v>
      </c>
      <c r="S694" s="16" t="s">
        <v>17</v>
      </c>
      <c r="T694" s="16" t="s">
        <v>7840</v>
      </c>
      <c r="U694" s="16" t="s">
        <v>17</v>
      </c>
      <c r="V694" s="16" t="s">
        <v>7049</v>
      </c>
      <c r="W694" s="16" t="s">
        <v>17</v>
      </c>
      <c r="X694" s="16" t="s">
        <v>1519</v>
      </c>
      <c r="Y694" s="16" t="s">
        <v>17</v>
      </c>
      <c r="Z694" s="16" t="s">
        <v>6926</v>
      </c>
    </row>
    <row r="695" spans="1:26" x14ac:dyDescent="0.3">
      <c r="A695" s="16">
        <v>694</v>
      </c>
      <c r="B695" s="16" t="s">
        <v>8355</v>
      </c>
      <c r="C695" s="17">
        <v>9780071701884</v>
      </c>
      <c r="D695" s="17">
        <v>9780071701884</v>
      </c>
      <c r="E695" s="16" t="s">
        <v>6920</v>
      </c>
      <c r="F695" s="16" t="s">
        <v>17</v>
      </c>
      <c r="G695" s="16" t="s">
        <v>17</v>
      </c>
      <c r="H695" s="16" t="s">
        <v>17</v>
      </c>
      <c r="I695" s="16" t="s">
        <v>17</v>
      </c>
      <c r="J695" s="16" t="s">
        <v>17</v>
      </c>
      <c r="K695" s="16" t="s">
        <v>1478</v>
      </c>
      <c r="L695" s="16" t="s">
        <v>8356</v>
      </c>
      <c r="M695" s="16" t="s">
        <v>8355</v>
      </c>
      <c r="N695" s="16" t="s">
        <v>17</v>
      </c>
      <c r="O695" s="16" t="s">
        <v>6921</v>
      </c>
      <c r="P695" s="16" t="s">
        <v>17</v>
      </c>
      <c r="Q695" s="16" t="s">
        <v>6922</v>
      </c>
      <c r="R695" s="16" t="s">
        <v>6923</v>
      </c>
      <c r="S695" s="16" t="s">
        <v>17</v>
      </c>
      <c r="T695" s="16" t="s">
        <v>6920</v>
      </c>
      <c r="U695" s="16" t="s">
        <v>17</v>
      </c>
      <c r="V695" s="16" t="s">
        <v>6929</v>
      </c>
      <c r="W695" s="16" t="s">
        <v>17</v>
      </c>
      <c r="X695" s="16" t="s">
        <v>8355</v>
      </c>
      <c r="Y695" s="16" t="s">
        <v>17</v>
      </c>
      <c r="Z695" s="16" t="s">
        <v>6926</v>
      </c>
    </row>
    <row r="696" spans="1:26" x14ac:dyDescent="0.3">
      <c r="A696" s="16">
        <v>695</v>
      </c>
      <c r="B696" s="16" t="s">
        <v>1067</v>
      </c>
      <c r="C696" s="17">
        <v>9780071830034</v>
      </c>
      <c r="D696" s="17">
        <v>9780071830034</v>
      </c>
      <c r="E696" s="16" t="s">
        <v>7865</v>
      </c>
      <c r="F696" s="16" t="s">
        <v>17</v>
      </c>
      <c r="G696" s="16" t="s">
        <v>17</v>
      </c>
      <c r="H696" s="16" t="s">
        <v>17</v>
      </c>
      <c r="I696" s="16" t="s">
        <v>17</v>
      </c>
      <c r="J696" s="16" t="s">
        <v>17</v>
      </c>
      <c r="K696" s="16" t="s">
        <v>1068</v>
      </c>
      <c r="L696" s="16" t="s">
        <v>8005</v>
      </c>
      <c r="M696" s="16" t="s">
        <v>1067</v>
      </c>
      <c r="N696" s="16" t="s">
        <v>17</v>
      </c>
      <c r="O696" s="16" t="s">
        <v>6921</v>
      </c>
      <c r="P696" s="16" t="s">
        <v>17</v>
      </c>
      <c r="Q696" s="16" t="s">
        <v>6922</v>
      </c>
      <c r="R696" s="16" t="s">
        <v>6923</v>
      </c>
      <c r="S696" s="16" t="s">
        <v>17</v>
      </c>
      <c r="T696" s="16" t="s">
        <v>7865</v>
      </c>
      <c r="U696" s="16" t="s">
        <v>17</v>
      </c>
      <c r="V696" s="16" t="s">
        <v>7049</v>
      </c>
      <c r="W696" s="16" t="s">
        <v>17</v>
      </c>
      <c r="X696" s="16" t="s">
        <v>1067</v>
      </c>
      <c r="Y696" s="16" t="s">
        <v>17</v>
      </c>
      <c r="Z696" s="16" t="s">
        <v>6926</v>
      </c>
    </row>
    <row r="697" spans="1:26" x14ac:dyDescent="0.3">
      <c r="A697" s="16">
        <v>696</v>
      </c>
      <c r="B697" s="16" t="s">
        <v>8069</v>
      </c>
      <c r="C697" s="17">
        <v>9781259836190</v>
      </c>
      <c r="D697" s="17">
        <v>9781259836190</v>
      </c>
      <c r="E697" s="16" t="s">
        <v>7397</v>
      </c>
      <c r="F697" s="16" t="s">
        <v>17</v>
      </c>
      <c r="G697" s="16" t="s">
        <v>17</v>
      </c>
      <c r="H697" s="16" t="s">
        <v>17</v>
      </c>
      <c r="I697" s="16" t="s">
        <v>17</v>
      </c>
      <c r="J697" s="16" t="s">
        <v>17</v>
      </c>
      <c r="K697" s="16" t="s">
        <v>1146</v>
      </c>
      <c r="L697" s="16" t="s">
        <v>866</v>
      </c>
      <c r="M697" s="16" t="s">
        <v>8069</v>
      </c>
      <c r="N697" s="16" t="s">
        <v>17</v>
      </c>
      <c r="O697" s="16" t="s">
        <v>6921</v>
      </c>
      <c r="P697" s="16" t="s">
        <v>17</v>
      </c>
      <c r="Q697" s="16" t="s">
        <v>6922</v>
      </c>
      <c r="R697" s="16" t="s">
        <v>6923</v>
      </c>
      <c r="S697" s="16" t="s">
        <v>17</v>
      </c>
      <c r="T697" s="16" t="s">
        <v>7397</v>
      </c>
      <c r="U697" s="16" t="s">
        <v>17</v>
      </c>
      <c r="V697" s="16" t="s">
        <v>6929</v>
      </c>
      <c r="W697" s="16" t="s">
        <v>17</v>
      </c>
      <c r="X697" s="16" t="s">
        <v>8069</v>
      </c>
      <c r="Y697" s="16" t="s">
        <v>17</v>
      </c>
      <c r="Z697" s="16" t="s">
        <v>6926</v>
      </c>
    </row>
    <row r="698" spans="1:26" x14ac:dyDescent="0.3">
      <c r="A698" s="16">
        <v>697</v>
      </c>
      <c r="B698" s="16" t="s">
        <v>8458</v>
      </c>
      <c r="C698" s="17">
        <v>9781266086915</v>
      </c>
      <c r="D698" s="17">
        <v>9781266086915</v>
      </c>
      <c r="E698" s="16" t="s">
        <v>8459</v>
      </c>
      <c r="F698" s="16" t="s">
        <v>17</v>
      </c>
      <c r="G698" s="16" t="s">
        <v>17</v>
      </c>
      <c r="H698" s="16" t="s">
        <v>17</v>
      </c>
      <c r="I698" s="16" t="s">
        <v>17</v>
      </c>
      <c r="J698" s="16" t="s">
        <v>17</v>
      </c>
      <c r="K698" s="16" t="s">
        <v>1634</v>
      </c>
      <c r="L698" s="16" t="s">
        <v>1633</v>
      </c>
      <c r="M698" s="16" t="s">
        <v>8458</v>
      </c>
      <c r="N698" s="16" t="s">
        <v>17</v>
      </c>
      <c r="O698" s="16" t="s">
        <v>6921</v>
      </c>
      <c r="P698" s="16" t="s">
        <v>17</v>
      </c>
      <c r="Q698" s="16" t="s">
        <v>6922</v>
      </c>
      <c r="R698" s="16" t="s">
        <v>6923</v>
      </c>
      <c r="S698" s="16" t="s">
        <v>17</v>
      </c>
      <c r="T698" s="16" t="s">
        <v>8459</v>
      </c>
      <c r="U698" s="16" t="s">
        <v>17</v>
      </c>
      <c r="V698" s="16" t="s">
        <v>6929</v>
      </c>
      <c r="W698" s="16" t="s">
        <v>17</v>
      </c>
      <c r="X698" s="16" t="s">
        <v>8458</v>
      </c>
      <c r="Y698" s="16" t="s">
        <v>17</v>
      </c>
      <c r="Z698" s="16" t="s">
        <v>6926</v>
      </c>
    </row>
    <row r="699" spans="1:26" x14ac:dyDescent="0.3">
      <c r="A699" s="16">
        <v>698</v>
      </c>
      <c r="B699" s="16" t="s">
        <v>321</v>
      </c>
      <c r="C699" s="17">
        <v>9780071830256</v>
      </c>
      <c r="D699" s="17">
        <v>9780071830256</v>
      </c>
      <c r="E699" s="16" t="s">
        <v>7305</v>
      </c>
      <c r="F699" s="16" t="s">
        <v>17</v>
      </c>
      <c r="G699" s="16" t="s">
        <v>17</v>
      </c>
      <c r="H699" s="16" t="s">
        <v>17</v>
      </c>
      <c r="I699" s="16" t="s">
        <v>17</v>
      </c>
      <c r="J699" s="16" t="s">
        <v>17</v>
      </c>
      <c r="K699" s="16" t="s">
        <v>322</v>
      </c>
      <c r="L699" s="16" t="s">
        <v>27</v>
      </c>
      <c r="M699" s="16" t="s">
        <v>321</v>
      </c>
      <c r="N699" s="16" t="s">
        <v>17</v>
      </c>
      <c r="O699" s="16" t="s">
        <v>6921</v>
      </c>
      <c r="P699" s="16" t="s">
        <v>17</v>
      </c>
      <c r="Q699" s="16" t="s">
        <v>6922</v>
      </c>
      <c r="R699" s="16" t="s">
        <v>6923</v>
      </c>
      <c r="S699" s="16" t="s">
        <v>17</v>
      </c>
      <c r="T699" s="16" t="s">
        <v>7305</v>
      </c>
      <c r="U699" s="16" t="s">
        <v>17</v>
      </c>
      <c r="V699" s="16" t="s">
        <v>7049</v>
      </c>
      <c r="W699" s="16" t="s">
        <v>17</v>
      </c>
      <c r="X699" s="16" t="s">
        <v>321</v>
      </c>
      <c r="Y699" s="16" t="s">
        <v>17</v>
      </c>
      <c r="Z699" s="16" t="s">
        <v>6926</v>
      </c>
    </row>
    <row r="700" spans="1:26" x14ac:dyDescent="0.3">
      <c r="A700" s="16">
        <v>699</v>
      </c>
      <c r="B700" s="16" t="s">
        <v>321</v>
      </c>
      <c r="C700" s="17">
        <v>9781260143249</v>
      </c>
      <c r="D700" s="17">
        <v>9781260143249</v>
      </c>
      <c r="E700" s="16" t="s">
        <v>7410</v>
      </c>
      <c r="F700" s="16" t="s">
        <v>17</v>
      </c>
      <c r="G700" s="16" t="s">
        <v>17</v>
      </c>
      <c r="H700" s="16" t="s">
        <v>17</v>
      </c>
      <c r="I700" s="16" t="s">
        <v>17</v>
      </c>
      <c r="J700" s="16" t="s">
        <v>17</v>
      </c>
      <c r="K700" s="16" t="s">
        <v>1567</v>
      </c>
      <c r="L700" s="16" t="s">
        <v>352</v>
      </c>
      <c r="M700" s="16" t="s">
        <v>321</v>
      </c>
      <c r="N700" s="16" t="s">
        <v>17</v>
      </c>
      <c r="O700" s="16" t="s">
        <v>6921</v>
      </c>
      <c r="P700" s="16" t="s">
        <v>17</v>
      </c>
      <c r="Q700" s="16" t="s">
        <v>6922</v>
      </c>
      <c r="R700" s="16" t="s">
        <v>6923</v>
      </c>
      <c r="S700" s="16" t="s">
        <v>17</v>
      </c>
      <c r="T700" s="16" t="s">
        <v>7410</v>
      </c>
      <c r="U700" s="16" t="s">
        <v>17</v>
      </c>
      <c r="V700" s="16" t="s">
        <v>6924</v>
      </c>
      <c r="W700" s="16" t="s">
        <v>17</v>
      </c>
      <c r="X700" s="16" t="s">
        <v>321</v>
      </c>
      <c r="Y700" s="16" t="s">
        <v>17</v>
      </c>
      <c r="Z700" s="16" t="s">
        <v>6926</v>
      </c>
    </row>
    <row r="701" spans="1:26" x14ac:dyDescent="0.3">
      <c r="A701" s="16">
        <v>700</v>
      </c>
      <c r="B701" s="16" t="s">
        <v>1058</v>
      </c>
      <c r="C701" s="17">
        <v>9781264676989</v>
      </c>
      <c r="D701" s="17">
        <v>9781264676989</v>
      </c>
      <c r="E701" s="16" t="s">
        <v>7328</v>
      </c>
      <c r="F701" s="16" t="s">
        <v>17</v>
      </c>
      <c r="G701" s="16" t="s">
        <v>17</v>
      </c>
      <c r="H701" s="16" t="s">
        <v>17</v>
      </c>
      <c r="I701" s="16" t="s">
        <v>17</v>
      </c>
      <c r="J701" s="16" t="s">
        <v>17</v>
      </c>
      <c r="K701" s="16" t="s">
        <v>353</v>
      </c>
      <c r="L701" s="16" t="s">
        <v>352</v>
      </c>
      <c r="M701" s="16" t="s">
        <v>1058</v>
      </c>
      <c r="N701" s="16" t="s">
        <v>17</v>
      </c>
      <c r="O701" s="16" t="s">
        <v>6921</v>
      </c>
      <c r="P701" s="16" t="s">
        <v>17</v>
      </c>
      <c r="Q701" s="16" t="s">
        <v>6922</v>
      </c>
      <c r="R701" s="16" t="s">
        <v>6923</v>
      </c>
      <c r="S701" s="16" t="s">
        <v>17</v>
      </c>
      <c r="T701" s="16" t="s">
        <v>7328</v>
      </c>
      <c r="U701" s="16" t="s">
        <v>17</v>
      </c>
      <c r="V701" s="16" t="s">
        <v>6949</v>
      </c>
      <c r="W701" s="16" t="s">
        <v>17</v>
      </c>
      <c r="X701" s="16" t="s">
        <v>1058</v>
      </c>
      <c r="Y701" s="16" t="s">
        <v>17</v>
      </c>
      <c r="Z701" s="16" t="s">
        <v>6926</v>
      </c>
    </row>
    <row r="702" spans="1:26" x14ac:dyDescent="0.3">
      <c r="A702" s="16">
        <v>701</v>
      </c>
      <c r="B702" s="16" t="s">
        <v>1058</v>
      </c>
      <c r="C702" s="17">
        <v>9781259641633</v>
      </c>
      <c r="D702" s="17">
        <v>9781259641633</v>
      </c>
      <c r="E702" s="16" t="s">
        <v>7213</v>
      </c>
      <c r="F702" s="16" t="s">
        <v>17</v>
      </c>
      <c r="G702" s="16" t="s">
        <v>17</v>
      </c>
      <c r="H702" s="16" t="s">
        <v>17</v>
      </c>
      <c r="I702" s="16" t="s">
        <v>17</v>
      </c>
      <c r="J702" s="16" t="s">
        <v>17</v>
      </c>
      <c r="K702" s="16" t="s">
        <v>816</v>
      </c>
      <c r="L702" s="16" t="s">
        <v>352</v>
      </c>
      <c r="M702" s="16" t="s">
        <v>1058</v>
      </c>
      <c r="N702" s="16" t="s">
        <v>17</v>
      </c>
      <c r="O702" s="16" t="s">
        <v>6921</v>
      </c>
      <c r="P702" s="16" t="s">
        <v>17</v>
      </c>
      <c r="Q702" s="16" t="s">
        <v>6922</v>
      </c>
      <c r="R702" s="16" t="s">
        <v>6923</v>
      </c>
      <c r="S702" s="16" t="s">
        <v>17</v>
      </c>
      <c r="T702" s="16" t="s">
        <v>7213</v>
      </c>
      <c r="U702" s="16" t="s">
        <v>17</v>
      </c>
      <c r="V702" s="16" t="s">
        <v>6924</v>
      </c>
      <c r="W702" s="16" t="s">
        <v>17</v>
      </c>
      <c r="X702" s="16" t="s">
        <v>1058</v>
      </c>
      <c r="Y702" s="16" t="s">
        <v>17</v>
      </c>
      <c r="Z702" s="16" t="s">
        <v>6926</v>
      </c>
    </row>
    <row r="703" spans="1:26" x14ac:dyDescent="0.3">
      <c r="A703" s="16">
        <v>702</v>
      </c>
      <c r="B703" s="16" t="s">
        <v>1058</v>
      </c>
      <c r="C703" s="17">
        <v>9780071784221</v>
      </c>
      <c r="D703" s="17">
        <v>9780071784221</v>
      </c>
      <c r="E703" s="16" t="s">
        <v>7478</v>
      </c>
      <c r="F703" s="16" t="s">
        <v>17</v>
      </c>
      <c r="G703" s="16" t="s">
        <v>17</v>
      </c>
      <c r="H703" s="16" t="s">
        <v>17</v>
      </c>
      <c r="I703" s="16" t="s">
        <v>17</v>
      </c>
      <c r="J703" s="16" t="s">
        <v>17</v>
      </c>
      <c r="K703" s="16" t="s">
        <v>1059</v>
      </c>
      <c r="L703" s="16" t="s">
        <v>27</v>
      </c>
      <c r="M703" s="16" t="s">
        <v>1058</v>
      </c>
      <c r="N703" s="16" t="s">
        <v>17</v>
      </c>
      <c r="O703" s="16" t="s">
        <v>6921</v>
      </c>
      <c r="P703" s="16" t="s">
        <v>17</v>
      </c>
      <c r="Q703" s="16" t="s">
        <v>6922</v>
      </c>
      <c r="R703" s="16" t="s">
        <v>6923</v>
      </c>
      <c r="S703" s="16" t="s">
        <v>17</v>
      </c>
      <c r="T703" s="16" t="s">
        <v>7478</v>
      </c>
      <c r="U703" s="16" t="s">
        <v>17</v>
      </c>
      <c r="V703" s="16" t="s">
        <v>7049</v>
      </c>
      <c r="W703" s="16" t="s">
        <v>17</v>
      </c>
      <c r="X703" s="16" t="s">
        <v>1058</v>
      </c>
      <c r="Y703" s="16" t="s">
        <v>17</v>
      </c>
      <c r="Z703" s="16" t="s">
        <v>6926</v>
      </c>
    </row>
    <row r="704" spans="1:26" x14ac:dyDescent="0.3">
      <c r="A704" s="16">
        <v>703</v>
      </c>
      <c r="B704" s="16" t="s">
        <v>8164</v>
      </c>
      <c r="C704" s="17">
        <v>9781260117585</v>
      </c>
      <c r="D704" s="17">
        <v>9781260117585</v>
      </c>
      <c r="E704" s="16" t="s">
        <v>7397</v>
      </c>
      <c r="F704" s="16" t="s">
        <v>17</v>
      </c>
      <c r="G704" s="16" t="s">
        <v>17</v>
      </c>
      <c r="H704" s="16" t="s">
        <v>17</v>
      </c>
      <c r="I704" s="16" t="s">
        <v>17</v>
      </c>
      <c r="J704" s="16" t="s">
        <v>17</v>
      </c>
      <c r="K704" s="16" t="s">
        <v>1249</v>
      </c>
      <c r="L704" s="16" t="s">
        <v>352</v>
      </c>
      <c r="M704" s="16" t="s">
        <v>8164</v>
      </c>
      <c r="N704" s="16" t="s">
        <v>17</v>
      </c>
      <c r="O704" s="16" t="s">
        <v>6921</v>
      </c>
      <c r="P704" s="16" t="s">
        <v>17</v>
      </c>
      <c r="Q704" s="16" t="s">
        <v>6922</v>
      </c>
      <c r="R704" s="16" t="s">
        <v>6923</v>
      </c>
      <c r="S704" s="16" t="s">
        <v>17</v>
      </c>
      <c r="T704" s="16" t="s">
        <v>7397</v>
      </c>
      <c r="U704" s="16" t="s">
        <v>17</v>
      </c>
      <c r="V704" s="16" t="s">
        <v>6929</v>
      </c>
      <c r="W704" s="16" t="s">
        <v>17</v>
      </c>
      <c r="X704" s="16" t="s">
        <v>8164</v>
      </c>
      <c r="Y704" s="16" t="s">
        <v>17</v>
      </c>
      <c r="Z704" s="16" t="s">
        <v>6926</v>
      </c>
    </row>
    <row r="705" spans="1:26" x14ac:dyDescent="0.3">
      <c r="A705" s="16">
        <v>704</v>
      </c>
      <c r="B705" s="16" t="s">
        <v>8275</v>
      </c>
      <c r="C705" s="17">
        <v>9780071832120</v>
      </c>
      <c r="D705" s="17">
        <v>9780071832120</v>
      </c>
      <c r="E705" s="16" t="s">
        <v>6995</v>
      </c>
      <c r="F705" s="16" t="s">
        <v>17</v>
      </c>
      <c r="G705" s="16" t="s">
        <v>17</v>
      </c>
      <c r="H705" s="16" t="s">
        <v>17</v>
      </c>
      <c r="I705" s="16" t="s">
        <v>17</v>
      </c>
      <c r="J705" s="16" t="s">
        <v>17</v>
      </c>
      <c r="K705" s="16" t="s">
        <v>1341</v>
      </c>
      <c r="L705" s="16" t="s">
        <v>8276</v>
      </c>
      <c r="M705" s="16" t="s">
        <v>8275</v>
      </c>
      <c r="N705" s="16" t="s">
        <v>17</v>
      </c>
      <c r="O705" s="16" t="s">
        <v>6921</v>
      </c>
      <c r="P705" s="16" t="s">
        <v>17</v>
      </c>
      <c r="Q705" s="16" t="s">
        <v>6922</v>
      </c>
      <c r="R705" s="16" t="s">
        <v>6923</v>
      </c>
      <c r="S705" s="16" t="s">
        <v>17</v>
      </c>
      <c r="T705" s="16" t="s">
        <v>6995</v>
      </c>
      <c r="U705" s="16" t="s">
        <v>17</v>
      </c>
      <c r="V705" s="16" t="s">
        <v>6929</v>
      </c>
      <c r="W705" s="16" t="s">
        <v>17</v>
      </c>
      <c r="X705" s="16" t="s">
        <v>8275</v>
      </c>
      <c r="Y705" s="16" t="s">
        <v>17</v>
      </c>
      <c r="Z705" s="16" t="s">
        <v>6926</v>
      </c>
    </row>
    <row r="706" spans="1:26" x14ac:dyDescent="0.3">
      <c r="A706" s="16">
        <v>705</v>
      </c>
      <c r="B706" s="16" t="s">
        <v>8072</v>
      </c>
      <c r="C706" s="17">
        <v>9781259588334</v>
      </c>
      <c r="D706" s="17">
        <v>9781259588334</v>
      </c>
      <c r="E706" s="16" t="s">
        <v>8073</v>
      </c>
      <c r="F706" s="16" t="s">
        <v>17</v>
      </c>
      <c r="G706" s="16" t="s">
        <v>17</v>
      </c>
      <c r="H706" s="16" t="s">
        <v>17</v>
      </c>
      <c r="I706" s="16" t="s">
        <v>17</v>
      </c>
      <c r="J706" s="16" t="s">
        <v>17</v>
      </c>
      <c r="K706" s="16" t="s">
        <v>1152</v>
      </c>
      <c r="L706" s="16" t="s">
        <v>483</v>
      </c>
      <c r="M706" s="16" t="s">
        <v>8072</v>
      </c>
      <c r="N706" s="16" t="s">
        <v>17</v>
      </c>
      <c r="O706" s="16" t="s">
        <v>6921</v>
      </c>
      <c r="P706" s="16" t="s">
        <v>17</v>
      </c>
      <c r="Q706" s="16" t="s">
        <v>6922</v>
      </c>
      <c r="R706" s="16" t="s">
        <v>6923</v>
      </c>
      <c r="S706" s="16" t="s">
        <v>17</v>
      </c>
      <c r="T706" s="16" t="s">
        <v>8073</v>
      </c>
      <c r="U706" s="16" t="s">
        <v>17</v>
      </c>
      <c r="V706" s="16" t="s">
        <v>6929</v>
      </c>
      <c r="W706" s="16" t="s">
        <v>17</v>
      </c>
      <c r="X706" s="16" t="s">
        <v>8072</v>
      </c>
      <c r="Y706" s="16" t="s">
        <v>17</v>
      </c>
      <c r="Z706" s="16" t="s">
        <v>6926</v>
      </c>
    </row>
    <row r="707" spans="1:26" x14ac:dyDescent="0.3">
      <c r="A707" s="16">
        <v>706</v>
      </c>
      <c r="B707" s="16" t="s">
        <v>7157</v>
      </c>
      <c r="C707" s="17">
        <v>9780071847063</v>
      </c>
      <c r="D707" s="17">
        <v>9780071847063</v>
      </c>
      <c r="E707" s="16" t="s">
        <v>6955</v>
      </c>
      <c r="F707" s="16" t="s">
        <v>17</v>
      </c>
      <c r="G707" s="16" t="s">
        <v>17</v>
      </c>
      <c r="H707" s="16" t="s">
        <v>17</v>
      </c>
      <c r="I707" s="16" t="s">
        <v>17</v>
      </c>
      <c r="J707" s="16" t="s">
        <v>17</v>
      </c>
      <c r="K707" s="16" t="s">
        <v>209</v>
      </c>
      <c r="L707" s="16" t="s">
        <v>208</v>
      </c>
      <c r="M707" s="16" t="s">
        <v>7157</v>
      </c>
      <c r="N707" s="16" t="s">
        <v>17</v>
      </c>
      <c r="O707" s="16" t="s">
        <v>6921</v>
      </c>
      <c r="P707" s="16" t="s">
        <v>17</v>
      </c>
      <c r="Q707" s="16" t="s">
        <v>6922</v>
      </c>
      <c r="R707" s="16" t="s">
        <v>6923</v>
      </c>
      <c r="S707" s="16" t="s">
        <v>17</v>
      </c>
      <c r="T707" s="16" t="s">
        <v>6955</v>
      </c>
      <c r="U707" s="16" t="s">
        <v>17</v>
      </c>
      <c r="V707" s="16" t="s">
        <v>6929</v>
      </c>
      <c r="W707" s="16" t="s">
        <v>17</v>
      </c>
      <c r="X707" s="16" t="s">
        <v>7157</v>
      </c>
      <c r="Y707" s="16" t="s">
        <v>17</v>
      </c>
      <c r="Z707" s="16" t="s">
        <v>6926</v>
      </c>
    </row>
    <row r="708" spans="1:26" x14ac:dyDescent="0.3">
      <c r="A708" s="16">
        <v>707</v>
      </c>
      <c r="B708" s="16" t="s">
        <v>1471</v>
      </c>
      <c r="C708" s="17">
        <v>9781264257355</v>
      </c>
      <c r="D708" s="17">
        <v>9781264257355</v>
      </c>
      <c r="E708" s="16" t="s">
        <v>7509</v>
      </c>
      <c r="F708" s="16" t="s">
        <v>17</v>
      </c>
      <c r="G708" s="16" t="s">
        <v>17</v>
      </c>
      <c r="H708" s="16" t="s">
        <v>17</v>
      </c>
      <c r="I708" s="16" t="s">
        <v>17</v>
      </c>
      <c r="J708" s="16" t="s">
        <v>17</v>
      </c>
      <c r="K708" s="16" t="s">
        <v>678</v>
      </c>
      <c r="L708" s="16" t="s">
        <v>6937</v>
      </c>
      <c r="M708" s="16" t="s">
        <v>1471</v>
      </c>
      <c r="N708" s="16" t="s">
        <v>17</v>
      </c>
      <c r="O708" s="16" t="s">
        <v>6921</v>
      </c>
      <c r="P708" s="16" t="s">
        <v>17</v>
      </c>
      <c r="Q708" s="16" t="s">
        <v>6922</v>
      </c>
      <c r="R708" s="16" t="s">
        <v>6923</v>
      </c>
      <c r="S708" s="16" t="s">
        <v>17</v>
      </c>
      <c r="T708" s="16" t="s">
        <v>7509</v>
      </c>
      <c r="U708" s="16" t="s">
        <v>17</v>
      </c>
      <c r="V708" s="16" t="s">
        <v>6949</v>
      </c>
      <c r="W708" s="16" t="s">
        <v>17</v>
      </c>
      <c r="X708" s="16" t="s">
        <v>1471</v>
      </c>
      <c r="Y708" s="16" t="s">
        <v>17</v>
      </c>
      <c r="Z708" s="16" t="s">
        <v>6926</v>
      </c>
    </row>
    <row r="709" spans="1:26" x14ac:dyDescent="0.3">
      <c r="A709" s="16">
        <v>708</v>
      </c>
      <c r="B709" s="16" t="s">
        <v>1471</v>
      </c>
      <c r="C709" s="17">
        <v>9780071807838</v>
      </c>
      <c r="D709" s="17">
        <v>9780071807838</v>
      </c>
      <c r="E709" s="16" t="s">
        <v>7302</v>
      </c>
      <c r="F709" s="16" t="s">
        <v>17</v>
      </c>
      <c r="G709" s="16" t="s">
        <v>17</v>
      </c>
      <c r="H709" s="16" t="s">
        <v>17</v>
      </c>
      <c r="I709" s="16" t="s">
        <v>17</v>
      </c>
      <c r="J709" s="16" t="s">
        <v>17</v>
      </c>
      <c r="K709" s="16" t="s">
        <v>1472</v>
      </c>
      <c r="L709" s="16" t="s">
        <v>27</v>
      </c>
      <c r="M709" s="16" t="s">
        <v>1471</v>
      </c>
      <c r="N709" s="16" t="s">
        <v>17</v>
      </c>
      <c r="O709" s="16" t="s">
        <v>6921</v>
      </c>
      <c r="P709" s="16" t="s">
        <v>17</v>
      </c>
      <c r="Q709" s="16" t="s">
        <v>6922</v>
      </c>
      <c r="R709" s="16" t="s">
        <v>6923</v>
      </c>
      <c r="S709" s="16" t="s">
        <v>17</v>
      </c>
      <c r="T709" s="16" t="s">
        <v>7302</v>
      </c>
      <c r="U709" s="16" t="s">
        <v>17</v>
      </c>
      <c r="V709" s="16" t="s">
        <v>7049</v>
      </c>
      <c r="W709" s="16" t="s">
        <v>17</v>
      </c>
      <c r="X709" s="16" t="s">
        <v>1471</v>
      </c>
      <c r="Y709" s="16" t="s">
        <v>17</v>
      </c>
      <c r="Z709" s="16" t="s">
        <v>6926</v>
      </c>
    </row>
    <row r="710" spans="1:26" x14ac:dyDescent="0.3">
      <c r="A710" s="16">
        <v>709</v>
      </c>
      <c r="B710" s="16" t="s">
        <v>1579</v>
      </c>
      <c r="C710" s="17">
        <v>9781259587405</v>
      </c>
      <c r="D710" s="17">
        <v>9781259587405</v>
      </c>
      <c r="E710" s="16" t="s">
        <v>8073</v>
      </c>
      <c r="F710" s="16" t="s">
        <v>17</v>
      </c>
      <c r="G710" s="16" t="s">
        <v>17</v>
      </c>
      <c r="H710" s="16" t="s">
        <v>17</v>
      </c>
      <c r="I710" s="16" t="s">
        <v>17</v>
      </c>
      <c r="J710" s="16" t="s">
        <v>17</v>
      </c>
      <c r="K710" s="16" t="s">
        <v>1580</v>
      </c>
      <c r="L710" s="16" t="s">
        <v>27</v>
      </c>
      <c r="M710" s="16" t="s">
        <v>1579</v>
      </c>
      <c r="N710" s="16" t="s">
        <v>17</v>
      </c>
      <c r="O710" s="16" t="s">
        <v>6921</v>
      </c>
      <c r="P710" s="16" t="s">
        <v>17</v>
      </c>
      <c r="Q710" s="16" t="s">
        <v>6922</v>
      </c>
      <c r="R710" s="16" t="s">
        <v>6923</v>
      </c>
      <c r="S710" s="16" t="s">
        <v>17</v>
      </c>
      <c r="T710" s="16" t="s">
        <v>8073</v>
      </c>
      <c r="U710" s="16" t="s">
        <v>17</v>
      </c>
      <c r="V710" s="16" t="s">
        <v>7112</v>
      </c>
      <c r="W710" s="16" t="s">
        <v>17</v>
      </c>
      <c r="X710" s="16" t="s">
        <v>1579</v>
      </c>
      <c r="Y710" s="16" t="s">
        <v>17</v>
      </c>
      <c r="Z710" s="16" t="s">
        <v>6926</v>
      </c>
    </row>
    <row r="711" spans="1:26" x14ac:dyDescent="0.3">
      <c r="A711" s="16">
        <v>710</v>
      </c>
      <c r="B711" s="16" t="s">
        <v>7477</v>
      </c>
      <c r="C711" s="17">
        <v>9781260031317</v>
      </c>
      <c r="D711" s="17">
        <v>9781260031317</v>
      </c>
      <c r="E711" s="16" t="s">
        <v>7211</v>
      </c>
      <c r="F711" s="16" t="s">
        <v>17</v>
      </c>
      <c r="G711" s="16" t="s">
        <v>17</v>
      </c>
      <c r="H711" s="16" t="s">
        <v>17</v>
      </c>
      <c r="I711" s="16" t="s">
        <v>17</v>
      </c>
      <c r="J711" s="16" t="s">
        <v>17</v>
      </c>
      <c r="K711" s="16" t="s">
        <v>484</v>
      </c>
      <c r="L711" s="16" t="s">
        <v>483</v>
      </c>
      <c r="M711" s="16" t="s">
        <v>7477</v>
      </c>
      <c r="N711" s="16" t="s">
        <v>17</v>
      </c>
      <c r="O711" s="16" t="s">
        <v>6921</v>
      </c>
      <c r="P711" s="16" t="s">
        <v>17</v>
      </c>
      <c r="Q711" s="16" t="s">
        <v>6922</v>
      </c>
      <c r="R711" s="16" t="s">
        <v>6923</v>
      </c>
      <c r="S711" s="16" t="s">
        <v>17</v>
      </c>
      <c r="T711" s="16" t="s">
        <v>7211</v>
      </c>
      <c r="U711" s="16" t="s">
        <v>17</v>
      </c>
      <c r="V711" s="16" t="s">
        <v>6929</v>
      </c>
      <c r="W711" s="16" t="s">
        <v>17</v>
      </c>
      <c r="X711" s="16" t="s">
        <v>7477</v>
      </c>
      <c r="Y711" s="16" t="s">
        <v>17</v>
      </c>
      <c r="Z711" s="16" t="s">
        <v>6926</v>
      </c>
    </row>
    <row r="712" spans="1:26" x14ac:dyDescent="0.3">
      <c r="A712" s="16">
        <v>711</v>
      </c>
      <c r="B712" s="16" t="s">
        <v>8362</v>
      </c>
      <c r="C712" s="17">
        <v>9780071822312</v>
      </c>
      <c r="D712" s="17">
        <v>9780071822312</v>
      </c>
      <c r="E712" s="16" t="s">
        <v>8363</v>
      </c>
      <c r="F712" s="16" t="s">
        <v>17</v>
      </c>
      <c r="G712" s="16" t="s">
        <v>17</v>
      </c>
      <c r="H712" s="16" t="s">
        <v>17</v>
      </c>
      <c r="I712" s="16" t="s">
        <v>17</v>
      </c>
      <c r="J712" s="16" t="s">
        <v>17</v>
      </c>
      <c r="K712" s="16" t="s">
        <v>1486</v>
      </c>
      <c r="L712" s="16" t="s">
        <v>7805</v>
      </c>
      <c r="M712" s="16" t="s">
        <v>8362</v>
      </c>
      <c r="N712" s="16" t="s">
        <v>17</v>
      </c>
      <c r="O712" s="16" t="s">
        <v>6921</v>
      </c>
      <c r="P712" s="16" t="s">
        <v>17</v>
      </c>
      <c r="Q712" s="16" t="s">
        <v>6922</v>
      </c>
      <c r="R712" s="16" t="s">
        <v>6923</v>
      </c>
      <c r="S712" s="16" t="s">
        <v>17</v>
      </c>
      <c r="T712" s="16" t="s">
        <v>8363</v>
      </c>
      <c r="U712" s="16" t="s">
        <v>17</v>
      </c>
      <c r="V712" s="16" t="s">
        <v>6949</v>
      </c>
      <c r="W712" s="16" t="s">
        <v>17</v>
      </c>
      <c r="X712" s="16" t="s">
        <v>8362</v>
      </c>
      <c r="Y712" s="16" t="s">
        <v>17</v>
      </c>
      <c r="Z712" s="16" t="s">
        <v>6926</v>
      </c>
    </row>
    <row r="713" spans="1:26" x14ac:dyDescent="0.3">
      <c r="A713" s="16">
        <v>712</v>
      </c>
      <c r="B713" s="16" t="s">
        <v>7804</v>
      </c>
      <c r="C713" s="17">
        <v>9781264268443</v>
      </c>
      <c r="D713" s="17">
        <v>9781264268443</v>
      </c>
      <c r="E713" s="16" t="s">
        <v>7318</v>
      </c>
      <c r="F713" s="16" t="s">
        <v>17</v>
      </c>
      <c r="G713" s="16" t="s">
        <v>17</v>
      </c>
      <c r="H713" s="16" t="s">
        <v>17</v>
      </c>
      <c r="I713" s="16" t="s">
        <v>17</v>
      </c>
      <c r="J713" s="16" t="s">
        <v>17</v>
      </c>
      <c r="K713" s="16" t="s">
        <v>778</v>
      </c>
      <c r="L713" s="16" t="s">
        <v>7805</v>
      </c>
      <c r="M713" s="16" t="s">
        <v>7804</v>
      </c>
      <c r="N713" s="16" t="s">
        <v>17</v>
      </c>
      <c r="O713" s="16" t="s">
        <v>6921</v>
      </c>
      <c r="P713" s="16" t="s">
        <v>17</v>
      </c>
      <c r="Q713" s="16" t="s">
        <v>6922</v>
      </c>
      <c r="R713" s="16" t="s">
        <v>6923</v>
      </c>
      <c r="S713" s="16" t="s">
        <v>17</v>
      </c>
      <c r="T713" s="16" t="s">
        <v>7318</v>
      </c>
      <c r="U713" s="16" t="s">
        <v>17</v>
      </c>
      <c r="V713" s="16" t="s">
        <v>7024</v>
      </c>
      <c r="W713" s="16" t="s">
        <v>17</v>
      </c>
      <c r="X713" s="16" t="s">
        <v>7804</v>
      </c>
      <c r="Y713" s="16" t="s">
        <v>17</v>
      </c>
      <c r="Z713" s="16" t="s">
        <v>6926</v>
      </c>
    </row>
    <row r="714" spans="1:26" x14ac:dyDescent="0.3">
      <c r="A714" s="16">
        <v>713</v>
      </c>
      <c r="B714" s="16" t="s">
        <v>7310</v>
      </c>
      <c r="C714" s="17">
        <v>9781259859700</v>
      </c>
      <c r="D714" s="17">
        <v>9781259859700</v>
      </c>
      <c r="E714" s="16" t="s">
        <v>7289</v>
      </c>
      <c r="F714" s="16" t="s">
        <v>17</v>
      </c>
      <c r="G714" s="16" t="s">
        <v>17</v>
      </c>
      <c r="H714" s="16" t="s">
        <v>17</v>
      </c>
      <c r="I714" s="16" t="s">
        <v>17</v>
      </c>
      <c r="J714" s="16" t="s">
        <v>17</v>
      </c>
      <c r="K714" s="16" t="s">
        <v>335</v>
      </c>
      <c r="L714" s="16" t="s">
        <v>7039</v>
      </c>
      <c r="M714" s="16" t="s">
        <v>7310</v>
      </c>
      <c r="N714" s="16" t="s">
        <v>17</v>
      </c>
      <c r="O714" s="16" t="s">
        <v>6921</v>
      </c>
      <c r="P714" s="16" t="s">
        <v>17</v>
      </c>
      <c r="Q714" s="16" t="s">
        <v>6922</v>
      </c>
      <c r="R714" s="16" t="s">
        <v>6923</v>
      </c>
      <c r="S714" s="16" t="s">
        <v>17</v>
      </c>
      <c r="T714" s="16" t="s">
        <v>7289</v>
      </c>
      <c r="U714" s="16" t="s">
        <v>17</v>
      </c>
      <c r="V714" s="16" t="s">
        <v>7145</v>
      </c>
      <c r="W714" s="16" t="s">
        <v>17</v>
      </c>
      <c r="X714" s="16" t="s">
        <v>7310</v>
      </c>
      <c r="Y714" s="16" t="s">
        <v>17</v>
      </c>
      <c r="Z714" s="16" t="s">
        <v>6926</v>
      </c>
    </row>
    <row r="715" spans="1:26" x14ac:dyDescent="0.3">
      <c r="A715" s="16">
        <v>714</v>
      </c>
      <c r="B715" s="16" t="s">
        <v>8385</v>
      </c>
      <c r="C715" s="17">
        <v>9780071464178</v>
      </c>
      <c r="D715" s="17">
        <v>9780071464178</v>
      </c>
      <c r="E715" s="16" t="s">
        <v>6920</v>
      </c>
      <c r="F715" s="16" t="s">
        <v>17</v>
      </c>
      <c r="G715" s="16" t="s">
        <v>17</v>
      </c>
      <c r="H715" s="16" t="s">
        <v>17</v>
      </c>
      <c r="I715" s="16" t="s">
        <v>17</v>
      </c>
      <c r="J715" s="16" t="s">
        <v>17</v>
      </c>
      <c r="K715" s="16" t="s">
        <v>1553</v>
      </c>
      <c r="L715" s="16" t="s">
        <v>1552</v>
      </c>
      <c r="M715" s="16" t="s">
        <v>8385</v>
      </c>
      <c r="N715" s="16" t="s">
        <v>17</v>
      </c>
      <c r="O715" s="16" t="s">
        <v>6921</v>
      </c>
      <c r="P715" s="16" t="s">
        <v>17</v>
      </c>
      <c r="Q715" s="16" t="s">
        <v>6922</v>
      </c>
      <c r="R715" s="16" t="s">
        <v>6923</v>
      </c>
      <c r="S715" s="16" t="s">
        <v>17</v>
      </c>
      <c r="T715" s="16" t="s">
        <v>6920</v>
      </c>
      <c r="U715" s="16" t="s">
        <v>17</v>
      </c>
      <c r="V715" s="16" t="s">
        <v>7320</v>
      </c>
      <c r="W715" s="16" t="s">
        <v>17</v>
      </c>
      <c r="X715" s="16" t="s">
        <v>8385</v>
      </c>
      <c r="Y715" s="16" t="s">
        <v>17</v>
      </c>
      <c r="Z715" s="16" t="s">
        <v>6926</v>
      </c>
    </row>
    <row r="716" spans="1:26" x14ac:dyDescent="0.3">
      <c r="A716" s="16">
        <v>715</v>
      </c>
      <c r="B716" s="16" t="s">
        <v>7602</v>
      </c>
      <c r="C716" s="17">
        <v>9780071471602</v>
      </c>
      <c r="D716" s="17">
        <v>9780071471602</v>
      </c>
      <c r="E716" s="16" t="s">
        <v>6920</v>
      </c>
      <c r="F716" s="16" t="s">
        <v>17</v>
      </c>
      <c r="G716" s="16" t="s">
        <v>17</v>
      </c>
      <c r="H716" s="16" t="s">
        <v>17</v>
      </c>
      <c r="I716" s="16" t="s">
        <v>17</v>
      </c>
      <c r="J716" s="16" t="s">
        <v>17</v>
      </c>
      <c r="K716" s="16" t="s">
        <v>596</v>
      </c>
      <c r="L716" s="16" t="s">
        <v>7515</v>
      </c>
      <c r="M716" s="16" t="s">
        <v>7602</v>
      </c>
      <c r="N716" s="16" t="s">
        <v>17</v>
      </c>
      <c r="O716" s="16" t="s">
        <v>6921</v>
      </c>
      <c r="P716" s="16" t="s">
        <v>17</v>
      </c>
      <c r="Q716" s="16" t="s">
        <v>6922</v>
      </c>
      <c r="R716" s="16" t="s">
        <v>6923</v>
      </c>
      <c r="S716" s="16" t="s">
        <v>17</v>
      </c>
      <c r="T716" s="16" t="s">
        <v>6920</v>
      </c>
      <c r="U716" s="16" t="s">
        <v>17</v>
      </c>
      <c r="V716" s="16" t="s">
        <v>6944</v>
      </c>
      <c r="W716" s="16" t="s">
        <v>17</v>
      </c>
      <c r="X716" s="16" t="s">
        <v>7602</v>
      </c>
      <c r="Y716" s="16" t="s">
        <v>17</v>
      </c>
      <c r="Z716" s="16" t="s">
        <v>6926</v>
      </c>
    </row>
    <row r="717" spans="1:26" x14ac:dyDescent="0.3">
      <c r="A717" s="16">
        <v>716</v>
      </c>
      <c r="B717" s="16" t="s">
        <v>8261</v>
      </c>
      <c r="C717" s="17">
        <v>9780071741057</v>
      </c>
      <c r="D717" s="17">
        <v>9780071741057</v>
      </c>
      <c r="E717" s="16" t="s">
        <v>8239</v>
      </c>
      <c r="F717" s="16" t="s">
        <v>17</v>
      </c>
      <c r="G717" s="16" t="s">
        <v>17</v>
      </c>
      <c r="H717" s="16" t="s">
        <v>17</v>
      </c>
      <c r="I717" s="16" t="s">
        <v>17</v>
      </c>
      <c r="J717" s="16" t="s">
        <v>17</v>
      </c>
      <c r="K717" s="16" t="s">
        <v>1334</v>
      </c>
      <c r="L717" s="16" t="s">
        <v>8262</v>
      </c>
      <c r="M717" s="16" t="s">
        <v>8261</v>
      </c>
      <c r="N717" s="16" t="s">
        <v>17</v>
      </c>
      <c r="O717" s="16" t="s">
        <v>6921</v>
      </c>
      <c r="P717" s="16" t="s">
        <v>17</v>
      </c>
      <c r="Q717" s="16" t="s">
        <v>6922</v>
      </c>
      <c r="R717" s="16" t="s">
        <v>6923</v>
      </c>
      <c r="S717" s="16" t="s">
        <v>17</v>
      </c>
      <c r="T717" s="16" t="s">
        <v>8239</v>
      </c>
      <c r="U717" s="16" t="s">
        <v>17</v>
      </c>
      <c r="V717" s="16" t="s">
        <v>6949</v>
      </c>
      <c r="W717" s="16" t="s">
        <v>17</v>
      </c>
      <c r="X717" s="16" t="s">
        <v>8261</v>
      </c>
      <c r="Y717" s="16" t="s">
        <v>17</v>
      </c>
      <c r="Z717" s="16" t="s">
        <v>6926</v>
      </c>
    </row>
    <row r="718" spans="1:26" x14ac:dyDescent="0.3">
      <c r="A718" s="16">
        <v>717</v>
      </c>
      <c r="B718" s="16" t="s">
        <v>7767</v>
      </c>
      <c r="C718" s="17">
        <v>9781264286270</v>
      </c>
      <c r="D718" s="17">
        <v>9781264286270</v>
      </c>
      <c r="E718" s="16" t="s">
        <v>7768</v>
      </c>
      <c r="F718" s="16" t="s">
        <v>17</v>
      </c>
      <c r="G718" s="16" t="s">
        <v>17</v>
      </c>
      <c r="H718" s="16" t="s">
        <v>17</v>
      </c>
      <c r="I718" s="16" t="s">
        <v>17</v>
      </c>
      <c r="J718" s="16" t="s">
        <v>17</v>
      </c>
      <c r="K718" s="16" t="s">
        <v>747</v>
      </c>
      <c r="L718" s="16" t="s">
        <v>7769</v>
      </c>
      <c r="M718" s="16" t="s">
        <v>7767</v>
      </c>
      <c r="N718" s="16" t="s">
        <v>17</v>
      </c>
      <c r="O718" s="16" t="s">
        <v>6921</v>
      </c>
      <c r="P718" s="16" t="s">
        <v>17</v>
      </c>
      <c r="Q718" s="16" t="s">
        <v>6922</v>
      </c>
      <c r="R718" s="16" t="s">
        <v>6923</v>
      </c>
      <c r="S718" s="16" t="s">
        <v>17</v>
      </c>
      <c r="T718" s="16" t="s">
        <v>7768</v>
      </c>
      <c r="U718" s="16" t="s">
        <v>17</v>
      </c>
      <c r="V718" s="16" t="s">
        <v>7072</v>
      </c>
      <c r="W718" s="16" t="s">
        <v>17</v>
      </c>
      <c r="X718" s="16" t="s">
        <v>7767</v>
      </c>
      <c r="Y718" s="16" t="s">
        <v>17</v>
      </c>
      <c r="Z718" s="16" t="s">
        <v>6926</v>
      </c>
    </row>
    <row r="719" spans="1:26" x14ac:dyDescent="0.3">
      <c r="A719" s="16">
        <v>718</v>
      </c>
      <c r="B719" s="16" t="s">
        <v>7280</v>
      </c>
      <c r="C719" s="17">
        <v>9780070116825</v>
      </c>
      <c r="D719" s="17">
        <v>9780070116825</v>
      </c>
      <c r="E719" s="16" t="s">
        <v>6920</v>
      </c>
      <c r="F719" s="16" t="s">
        <v>17</v>
      </c>
      <c r="G719" s="16" t="s">
        <v>17</v>
      </c>
      <c r="H719" s="16" t="s">
        <v>17</v>
      </c>
      <c r="I719" s="16" t="s">
        <v>17</v>
      </c>
      <c r="J719" s="16" t="s">
        <v>17</v>
      </c>
      <c r="K719" s="16" t="s">
        <v>307</v>
      </c>
      <c r="L719" s="16" t="s">
        <v>7281</v>
      </c>
      <c r="M719" s="16" t="s">
        <v>7280</v>
      </c>
      <c r="N719" s="16" t="s">
        <v>17</v>
      </c>
      <c r="O719" s="16" t="s">
        <v>6921</v>
      </c>
      <c r="P719" s="16" t="s">
        <v>17</v>
      </c>
      <c r="Q719" s="16" t="s">
        <v>6922</v>
      </c>
      <c r="R719" s="16" t="s">
        <v>6923</v>
      </c>
      <c r="S719" s="16" t="s">
        <v>17</v>
      </c>
      <c r="T719" s="16" t="s">
        <v>6920</v>
      </c>
      <c r="U719" s="16" t="s">
        <v>17</v>
      </c>
      <c r="V719" s="16" t="s">
        <v>6944</v>
      </c>
      <c r="W719" s="16" t="s">
        <v>17</v>
      </c>
      <c r="X719" s="16" t="s">
        <v>7280</v>
      </c>
      <c r="Y719" s="16" t="s">
        <v>17</v>
      </c>
      <c r="Z719" s="16" t="s">
        <v>6926</v>
      </c>
    </row>
    <row r="720" spans="1:26" x14ac:dyDescent="0.3">
      <c r="A720" s="16">
        <v>719</v>
      </c>
      <c r="B720" s="16" t="s">
        <v>7280</v>
      </c>
      <c r="C720" s="17">
        <v>9781260116342</v>
      </c>
      <c r="D720" s="17">
        <v>9781260116342</v>
      </c>
      <c r="E720" s="16" t="s">
        <v>7704</v>
      </c>
      <c r="F720" s="16" t="s">
        <v>17</v>
      </c>
      <c r="G720" s="16" t="s">
        <v>17</v>
      </c>
      <c r="H720" s="16" t="s">
        <v>17</v>
      </c>
      <c r="I720" s="16" t="s">
        <v>17</v>
      </c>
      <c r="J720" s="16" t="s">
        <v>17</v>
      </c>
      <c r="K720" s="16" t="s">
        <v>1119</v>
      </c>
      <c r="L720" s="16" t="s">
        <v>8042</v>
      </c>
      <c r="M720" s="16" t="s">
        <v>7280</v>
      </c>
      <c r="N720" s="16" t="s">
        <v>17</v>
      </c>
      <c r="O720" s="16" t="s">
        <v>6921</v>
      </c>
      <c r="P720" s="16" t="s">
        <v>17</v>
      </c>
      <c r="Q720" s="16" t="s">
        <v>6922</v>
      </c>
      <c r="R720" s="16" t="s">
        <v>6923</v>
      </c>
      <c r="S720" s="16" t="s">
        <v>17</v>
      </c>
      <c r="T720" s="16" t="s">
        <v>7704</v>
      </c>
      <c r="U720" s="16" t="s">
        <v>17</v>
      </c>
      <c r="V720" s="16" t="s">
        <v>7072</v>
      </c>
      <c r="W720" s="16" t="s">
        <v>17</v>
      </c>
      <c r="X720" s="16" t="s">
        <v>7280</v>
      </c>
      <c r="Y720" s="16" t="s">
        <v>17</v>
      </c>
      <c r="Z720" s="16" t="s">
        <v>6926</v>
      </c>
    </row>
    <row r="721" spans="1:26" x14ac:dyDescent="0.3">
      <c r="A721" s="16">
        <v>720</v>
      </c>
      <c r="B721" s="16" t="s">
        <v>8126</v>
      </c>
      <c r="C721" s="17">
        <v>9780071820110</v>
      </c>
      <c r="D721" s="17">
        <v>9780071820110</v>
      </c>
      <c r="E721" s="16" t="s">
        <v>7271</v>
      </c>
      <c r="F721" s="16" t="s">
        <v>17</v>
      </c>
      <c r="G721" s="16" t="s">
        <v>17</v>
      </c>
      <c r="H721" s="16" t="s">
        <v>17</v>
      </c>
      <c r="I721" s="16" t="s">
        <v>17</v>
      </c>
      <c r="J721" s="16" t="s">
        <v>17</v>
      </c>
      <c r="K721" s="16" t="s">
        <v>1216</v>
      </c>
      <c r="L721" s="16" t="s">
        <v>1214</v>
      </c>
      <c r="M721" s="16" t="s">
        <v>8126</v>
      </c>
      <c r="N721" s="16" t="s">
        <v>17</v>
      </c>
      <c r="O721" s="16" t="s">
        <v>6921</v>
      </c>
      <c r="P721" s="16" t="s">
        <v>17</v>
      </c>
      <c r="Q721" s="16" t="s">
        <v>6922</v>
      </c>
      <c r="R721" s="16" t="s">
        <v>6923</v>
      </c>
      <c r="S721" s="16" t="s">
        <v>17</v>
      </c>
      <c r="T721" s="16" t="s">
        <v>7271</v>
      </c>
      <c r="U721" s="16" t="s">
        <v>17</v>
      </c>
      <c r="V721" s="16" t="s">
        <v>6924</v>
      </c>
      <c r="W721" s="16" t="s">
        <v>17</v>
      </c>
      <c r="X721" s="16" t="s">
        <v>8126</v>
      </c>
      <c r="Y721" s="16" t="s">
        <v>17</v>
      </c>
      <c r="Z721" s="16" t="s">
        <v>6926</v>
      </c>
    </row>
    <row r="722" spans="1:26" x14ac:dyDescent="0.3">
      <c r="A722" s="16">
        <v>721</v>
      </c>
      <c r="B722" s="16" t="s">
        <v>7665</v>
      </c>
      <c r="C722" s="17">
        <v>9780071460446</v>
      </c>
      <c r="D722" s="17">
        <v>9780071460446</v>
      </c>
      <c r="E722" s="16" t="s">
        <v>7036</v>
      </c>
      <c r="F722" s="16" t="s">
        <v>17</v>
      </c>
      <c r="G722" s="16" t="s">
        <v>17</v>
      </c>
      <c r="H722" s="16" t="s">
        <v>17</v>
      </c>
      <c r="I722" s="16" t="s">
        <v>17</v>
      </c>
      <c r="J722" s="16" t="s">
        <v>17</v>
      </c>
      <c r="K722" s="16" t="s">
        <v>655</v>
      </c>
      <c r="L722" s="16" t="s">
        <v>17</v>
      </c>
      <c r="M722" s="16" t="s">
        <v>7665</v>
      </c>
      <c r="N722" s="16" t="s">
        <v>17</v>
      </c>
      <c r="O722" s="16" t="s">
        <v>6921</v>
      </c>
      <c r="P722" s="16" t="s">
        <v>17</v>
      </c>
      <c r="Q722" s="16" t="s">
        <v>6922</v>
      </c>
      <c r="R722" s="16" t="s">
        <v>6923</v>
      </c>
      <c r="S722" s="16" t="s">
        <v>17</v>
      </c>
      <c r="T722" s="16" t="s">
        <v>7036</v>
      </c>
      <c r="U722" s="16" t="s">
        <v>17</v>
      </c>
      <c r="V722" s="16" t="s">
        <v>7024</v>
      </c>
      <c r="W722" s="16" t="s">
        <v>7666</v>
      </c>
      <c r="X722" s="16" t="s">
        <v>7665</v>
      </c>
      <c r="Y722" s="16" t="s">
        <v>17</v>
      </c>
      <c r="Z722" s="16" t="s">
        <v>6926</v>
      </c>
    </row>
    <row r="723" spans="1:26" x14ac:dyDescent="0.3">
      <c r="A723" s="16">
        <v>722</v>
      </c>
      <c r="B723" s="16" t="s">
        <v>8144</v>
      </c>
      <c r="C723" s="17">
        <v>9780071759663</v>
      </c>
      <c r="D723" s="17">
        <v>9780071759663</v>
      </c>
      <c r="E723" s="16" t="s">
        <v>7896</v>
      </c>
      <c r="F723" s="16" t="s">
        <v>17</v>
      </c>
      <c r="G723" s="16" t="s">
        <v>17</v>
      </c>
      <c r="H723" s="16" t="s">
        <v>17</v>
      </c>
      <c r="I723" s="16" t="s">
        <v>17</v>
      </c>
      <c r="J723" s="16" t="s">
        <v>17</v>
      </c>
      <c r="K723" s="16" t="s">
        <v>1234</v>
      </c>
      <c r="L723" s="16" t="s">
        <v>8145</v>
      </c>
      <c r="M723" s="16" t="s">
        <v>8144</v>
      </c>
      <c r="N723" s="16" t="s">
        <v>17</v>
      </c>
      <c r="O723" s="16" t="s">
        <v>6921</v>
      </c>
      <c r="P723" s="16" t="s">
        <v>17</v>
      </c>
      <c r="Q723" s="16" t="s">
        <v>6922</v>
      </c>
      <c r="R723" s="16" t="s">
        <v>6923</v>
      </c>
      <c r="S723" s="16" t="s">
        <v>17</v>
      </c>
      <c r="T723" s="16" t="s">
        <v>7896</v>
      </c>
      <c r="U723" s="16" t="s">
        <v>17</v>
      </c>
      <c r="V723" s="16" t="s">
        <v>6949</v>
      </c>
      <c r="W723" s="16" t="s">
        <v>17</v>
      </c>
      <c r="X723" s="16" t="s">
        <v>8144</v>
      </c>
      <c r="Y723" s="16" t="s">
        <v>17</v>
      </c>
      <c r="Z723" s="16" t="s">
        <v>6926</v>
      </c>
    </row>
    <row r="724" spans="1:26" x14ac:dyDescent="0.3">
      <c r="A724" s="16">
        <v>723</v>
      </c>
      <c r="B724" s="16" t="s">
        <v>7667</v>
      </c>
      <c r="C724" s="17">
        <v>9780071663427</v>
      </c>
      <c r="D724" s="17">
        <v>9780071663427</v>
      </c>
      <c r="E724" s="16" t="s">
        <v>7118</v>
      </c>
      <c r="F724" s="16" t="s">
        <v>17</v>
      </c>
      <c r="G724" s="16" t="s">
        <v>17</v>
      </c>
      <c r="H724" s="16" t="s">
        <v>17</v>
      </c>
      <c r="I724" s="16" t="s">
        <v>17</v>
      </c>
      <c r="J724" s="16" t="s">
        <v>17</v>
      </c>
      <c r="K724" s="16" t="s">
        <v>657</v>
      </c>
      <c r="L724" s="16" t="s">
        <v>656</v>
      </c>
      <c r="M724" s="16" t="s">
        <v>7667</v>
      </c>
      <c r="N724" s="16" t="s">
        <v>17</v>
      </c>
      <c r="O724" s="16" t="s">
        <v>6921</v>
      </c>
      <c r="P724" s="16" t="s">
        <v>17</v>
      </c>
      <c r="Q724" s="16" t="s">
        <v>6922</v>
      </c>
      <c r="R724" s="16" t="s">
        <v>6923</v>
      </c>
      <c r="S724" s="16" t="s">
        <v>17</v>
      </c>
      <c r="T724" s="16" t="s">
        <v>7118</v>
      </c>
      <c r="U724" s="16" t="s">
        <v>17</v>
      </c>
      <c r="V724" s="16" t="s">
        <v>6929</v>
      </c>
      <c r="W724" s="16" t="s">
        <v>17</v>
      </c>
      <c r="X724" s="16" t="s">
        <v>7667</v>
      </c>
      <c r="Y724" s="16" t="s">
        <v>17</v>
      </c>
      <c r="Z724" s="16" t="s">
        <v>6926</v>
      </c>
    </row>
    <row r="725" spans="1:26" x14ac:dyDescent="0.3">
      <c r="A725" s="16">
        <v>724</v>
      </c>
      <c r="B725" s="16" t="s">
        <v>7339</v>
      </c>
      <c r="C725" s="17">
        <v>9781260123111</v>
      </c>
      <c r="D725" s="17">
        <v>9781260123111</v>
      </c>
      <c r="E725" s="16" t="s">
        <v>7340</v>
      </c>
      <c r="F725" s="16" t="s">
        <v>17</v>
      </c>
      <c r="G725" s="16" t="s">
        <v>17</v>
      </c>
      <c r="H725" s="16" t="s">
        <v>17</v>
      </c>
      <c r="I725" s="16" t="s">
        <v>17</v>
      </c>
      <c r="J725" s="16" t="s">
        <v>17</v>
      </c>
      <c r="K725" s="16" t="s">
        <v>361</v>
      </c>
      <c r="L725" s="16" t="s">
        <v>7341</v>
      </c>
      <c r="M725" s="16" t="s">
        <v>7339</v>
      </c>
      <c r="N725" s="16" t="s">
        <v>17</v>
      </c>
      <c r="O725" s="16" t="s">
        <v>6921</v>
      </c>
      <c r="P725" s="16" t="s">
        <v>17</v>
      </c>
      <c r="Q725" s="16" t="s">
        <v>6922</v>
      </c>
      <c r="R725" s="16" t="s">
        <v>6923</v>
      </c>
      <c r="S725" s="16" t="s">
        <v>17</v>
      </c>
      <c r="T725" s="16" t="s">
        <v>7340</v>
      </c>
      <c r="U725" s="16" t="s">
        <v>17</v>
      </c>
      <c r="V725" s="16" t="s">
        <v>6929</v>
      </c>
      <c r="W725" s="16" t="s">
        <v>17</v>
      </c>
      <c r="X725" s="16" t="s">
        <v>7339</v>
      </c>
      <c r="Y725" s="16" t="s">
        <v>17</v>
      </c>
      <c r="Z725" s="16" t="s">
        <v>6926</v>
      </c>
    </row>
    <row r="726" spans="1:26" x14ac:dyDescent="0.3">
      <c r="A726" s="16">
        <v>725</v>
      </c>
      <c r="B726" s="16" t="s">
        <v>1588</v>
      </c>
      <c r="C726" s="17">
        <v>9780071765633</v>
      </c>
      <c r="D726" s="17">
        <v>9780071765633</v>
      </c>
      <c r="E726" s="16" t="s">
        <v>7133</v>
      </c>
      <c r="F726" s="16" t="s">
        <v>17</v>
      </c>
      <c r="G726" s="16" t="s">
        <v>17</v>
      </c>
      <c r="H726" s="16" t="s">
        <v>17</v>
      </c>
      <c r="I726" s="16" t="s">
        <v>17</v>
      </c>
      <c r="J726" s="16" t="s">
        <v>17</v>
      </c>
      <c r="K726" s="16" t="s">
        <v>1590</v>
      </c>
      <c r="L726" s="16" t="s">
        <v>1589</v>
      </c>
      <c r="M726" s="16" t="s">
        <v>1588</v>
      </c>
      <c r="N726" s="16" t="s">
        <v>17</v>
      </c>
      <c r="O726" s="16" t="s">
        <v>6921</v>
      </c>
      <c r="P726" s="16" t="s">
        <v>17</v>
      </c>
      <c r="Q726" s="16" t="s">
        <v>6922</v>
      </c>
      <c r="R726" s="16" t="s">
        <v>6923</v>
      </c>
      <c r="S726" s="16" t="s">
        <v>17</v>
      </c>
      <c r="T726" s="16" t="s">
        <v>7133</v>
      </c>
      <c r="U726" s="16" t="s">
        <v>17</v>
      </c>
      <c r="V726" s="16" t="s">
        <v>7183</v>
      </c>
      <c r="W726" s="16" t="s">
        <v>17</v>
      </c>
      <c r="X726" s="16" t="s">
        <v>1588</v>
      </c>
      <c r="Y726" s="16" t="s">
        <v>17</v>
      </c>
      <c r="Z726" s="16" t="s">
        <v>6926</v>
      </c>
    </row>
    <row r="727" spans="1:26" x14ac:dyDescent="0.3">
      <c r="A727" s="16">
        <v>726</v>
      </c>
      <c r="B727" s="16" t="s">
        <v>7381</v>
      </c>
      <c r="C727" s="17">
        <v>9780071485470</v>
      </c>
      <c r="D727" s="17">
        <v>9780071485470</v>
      </c>
      <c r="E727" s="16" t="s">
        <v>6920</v>
      </c>
      <c r="F727" s="16" t="s">
        <v>17</v>
      </c>
      <c r="G727" s="16" t="s">
        <v>17</v>
      </c>
      <c r="H727" s="16" t="s">
        <v>17</v>
      </c>
      <c r="I727" s="16" t="s">
        <v>17</v>
      </c>
      <c r="J727" s="16" t="s">
        <v>17</v>
      </c>
      <c r="K727" s="16" t="s">
        <v>398</v>
      </c>
      <c r="L727" s="16" t="s">
        <v>17</v>
      </c>
      <c r="M727" s="16" t="s">
        <v>7381</v>
      </c>
      <c r="N727" s="16" t="s">
        <v>17</v>
      </c>
      <c r="O727" s="16" t="s">
        <v>6921</v>
      </c>
      <c r="P727" s="16" t="s">
        <v>17</v>
      </c>
      <c r="Q727" s="16" t="s">
        <v>6922</v>
      </c>
      <c r="R727" s="16" t="s">
        <v>6923</v>
      </c>
      <c r="S727" s="16" t="s">
        <v>17</v>
      </c>
      <c r="T727" s="16" t="s">
        <v>6920</v>
      </c>
      <c r="U727" s="16" t="s">
        <v>17</v>
      </c>
      <c r="V727" s="16" t="s">
        <v>6949</v>
      </c>
      <c r="W727" s="16" t="s">
        <v>7382</v>
      </c>
      <c r="X727" s="16" t="s">
        <v>7381</v>
      </c>
      <c r="Y727" s="16" t="s">
        <v>17</v>
      </c>
      <c r="Z727" s="16" t="s">
        <v>6926</v>
      </c>
    </row>
    <row r="728" spans="1:26" x14ac:dyDescent="0.3">
      <c r="A728" s="16">
        <v>727</v>
      </c>
      <c r="B728" s="16" t="s">
        <v>7511</v>
      </c>
      <c r="C728" s="17">
        <v>9780070684997</v>
      </c>
      <c r="D728" s="17">
        <v>9780070684997</v>
      </c>
      <c r="E728" s="16" t="s">
        <v>7512</v>
      </c>
      <c r="F728" s="16" t="s">
        <v>17</v>
      </c>
      <c r="G728" s="16" t="s">
        <v>17</v>
      </c>
      <c r="H728" s="16" t="s">
        <v>17</v>
      </c>
      <c r="I728" s="16" t="s">
        <v>17</v>
      </c>
      <c r="J728" s="16" t="s">
        <v>17</v>
      </c>
      <c r="K728" s="16" t="s">
        <v>516</v>
      </c>
      <c r="L728" s="16" t="s">
        <v>7513</v>
      </c>
      <c r="M728" s="16" t="s">
        <v>7511</v>
      </c>
      <c r="N728" s="16" t="s">
        <v>17</v>
      </c>
      <c r="O728" s="16" t="s">
        <v>6921</v>
      </c>
      <c r="P728" s="16" t="s">
        <v>17</v>
      </c>
      <c r="Q728" s="16" t="s">
        <v>6922</v>
      </c>
      <c r="R728" s="16" t="s">
        <v>6923</v>
      </c>
      <c r="S728" s="16" t="s">
        <v>17</v>
      </c>
      <c r="T728" s="16" t="s">
        <v>7512</v>
      </c>
      <c r="U728" s="16" t="s">
        <v>17</v>
      </c>
      <c r="V728" s="16" t="s">
        <v>6929</v>
      </c>
      <c r="W728" s="16" t="s">
        <v>17</v>
      </c>
      <c r="X728" s="16" t="s">
        <v>7511</v>
      </c>
      <c r="Y728" s="16" t="s">
        <v>17</v>
      </c>
      <c r="Z728" s="16" t="s">
        <v>6926</v>
      </c>
    </row>
    <row r="729" spans="1:26" x14ac:dyDescent="0.3">
      <c r="A729" s="16">
        <v>728</v>
      </c>
      <c r="B729" s="16" t="s">
        <v>7030</v>
      </c>
      <c r="C729" s="17">
        <v>9780070680128</v>
      </c>
      <c r="D729" s="17">
        <v>9780070680128</v>
      </c>
      <c r="E729" s="16" t="s">
        <v>6947</v>
      </c>
      <c r="F729" s="16" t="s">
        <v>17</v>
      </c>
      <c r="G729" s="16" t="s">
        <v>17</v>
      </c>
      <c r="H729" s="16" t="s">
        <v>17</v>
      </c>
      <c r="I729" s="16" t="s">
        <v>17</v>
      </c>
      <c r="J729" s="16" t="s">
        <v>17</v>
      </c>
      <c r="K729" s="16" t="s">
        <v>97</v>
      </c>
      <c r="L729" s="16" t="s">
        <v>7031</v>
      </c>
      <c r="M729" s="16" t="s">
        <v>7030</v>
      </c>
      <c r="N729" s="16" t="s">
        <v>17</v>
      </c>
      <c r="O729" s="16" t="s">
        <v>6921</v>
      </c>
      <c r="P729" s="16" t="s">
        <v>17</v>
      </c>
      <c r="Q729" s="16" t="s">
        <v>6922</v>
      </c>
      <c r="R729" s="16" t="s">
        <v>6923</v>
      </c>
      <c r="S729" s="16" t="s">
        <v>17</v>
      </c>
      <c r="T729" s="16" t="s">
        <v>6947</v>
      </c>
      <c r="U729" s="16" t="s">
        <v>17</v>
      </c>
      <c r="V729" s="16" t="s">
        <v>7024</v>
      </c>
      <c r="W729" s="16" t="s">
        <v>17</v>
      </c>
      <c r="X729" s="16" t="s">
        <v>7030</v>
      </c>
      <c r="Y729" s="16" t="s">
        <v>17</v>
      </c>
      <c r="Z729" s="16" t="s">
        <v>6926</v>
      </c>
    </row>
    <row r="730" spans="1:26" x14ac:dyDescent="0.3">
      <c r="A730" s="16">
        <v>729</v>
      </c>
      <c r="B730" s="16" t="s">
        <v>7537</v>
      </c>
      <c r="C730" s="17">
        <v>9781260461527</v>
      </c>
      <c r="D730" s="17">
        <v>9781260461527</v>
      </c>
      <c r="E730" s="16" t="s">
        <v>7538</v>
      </c>
      <c r="F730" s="16" t="s">
        <v>17</v>
      </c>
      <c r="G730" s="16" t="s">
        <v>17</v>
      </c>
      <c r="H730" s="16" t="s">
        <v>17</v>
      </c>
      <c r="I730" s="16" t="s">
        <v>17</v>
      </c>
      <c r="J730" s="16" t="s">
        <v>17</v>
      </c>
      <c r="K730" s="16" t="s">
        <v>531</v>
      </c>
      <c r="L730" s="16" t="s">
        <v>7539</v>
      </c>
      <c r="M730" s="16" t="s">
        <v>7537</v>
      </c>
      <c r="N730" s="16" t="s">
        <v>17</v>
      </c>
      <c r="O730" s="16" t="s">
        <v>6921</v>
      </c>
      <c r="P730" s="16" t="s">
        <v>17</v>
      </c>
      <c r="Q730" s="16" t="s">
        <v>6922</v>
      </c>
      <c r="R730" s="16" t="s">
        <v>6923</v>
      </c>
      <c r="S730" s="16" t="s">
        <v>17</v>
      </c>
      <c r="T730" s="16" t="s">
        <v>7538</v>
      </c>
      <c r="U730" s="16" t="s">
        <v>17</v>
      </c>
      <c r="V730" s="16" t="s">
        <v>6929</v>
      </c>
      <c r="W730" s="16" t="s">
        <v>17</v>
      </c>
      <c r="X730" s="16" t="s">
        <v>7537</v>
      </c>
      <c r="Y730" s="16" t="s">
        <v>17</v>
      </c>
      <c r="Z730" s="16" t="s">
        <v>6926</v>
      </c>
    </row>
    <row r="731" spans="1:26" x14ac:dyDescent="0.3">
      <c r="A731" s="16">
        <v>730</v>
      </c>
      <c r="B731" s="16" t="s">
        <v>8080</v>
      </c>
      <c r="C731" s="17">
        <v>9781259640582</v>
      </c>
      <c r="D731" s="17">
        <v>9781259640582</v>
      </c>
      <c r="E731" s="16" t="s">
        <v>7213</v>
      </c>
      <c r="F731" s="16" t="s">
        <v>17</v>
      </c>
      <c r="G731" s="16" t="s">
        <v>17</v>
      </c>
      <c r="H731" s="16" t="s">
        <v>17</v>
      </c>
      <c r="I731" s="16" t="s">
        <v>17</v>
      </c>
      <c r="J731" s="16" t="s">
        <v>17</v>
      </c>
      <c r="K731" s="16" t="s">
        <v>1169</v>
      </c>
      <c r="L731" s="16" t="s">
        <v>483</v>
      </c>
      <c r="M731" s="16" t="s">
        <v>8080</v>
      </c>
      <c r="N731" s="16" t="s">
        <v>17</v>
      </c>
      <c r="O731" s="16" t="s">
        <v>6921</v>
      </c>
      <c r="P731" s="16" t="s">
        <v>17</v>
      </c>
      <c r="Q731" s="16" t="s">
        <v>6922</v>
      </c>
      <c r="R731" s="16" t="s">
        <v>6923</v>
      </c>
      <c r="S731" s="16" t="s">
        <v>17</v>
      </c>
      <c r="T731" s="16" t="s">
        <v>7213</v>
      </c>
      <c r="U731" s="16" t="s">
        <v>17</v>
      </c>
      <c r="V731" s="16" t="s">
        <v>6929</v>
      </c>
      <c r="W731" s="16" t="s">
        <v>17</v>
      </c>
      <c r="X731" s="16" t="s">
        <v>8080</v>
      </c>
      <c r="Y731" s="16" t="s">
        <v>17</v>
      </c>
      <c r="Z731" s="16" t="s">
        <v>6926</v>
      </c>
    </row>
    <row r="732" spans="1:26" x14ac:dyDescent="0.3">
      <c r="A732" s="16">
        <v>731</v>
      </c>
      <c r="B732" s="16" t="s">
        <v>8292</v>
      </c>
      <c r="C732" s="17">
        <v>9780071821582</v>
      </c>
      <c r="D732" s="17">
        <v>9780071821582</v>
      </c>
      <c r="E732" s="16" t="s">
        <v>7302</v>
      </c>
      <c r="F732" s="16" t="s">
        <v>17</v>
      </c>
      <c r="G732" s="16" t="s">
        <v>17</v>
      </c>
      <c r="H732" s="16" t="s">
        <v>17</v>
      </c>
      <c r="I732" s="16" t="s">
        <v>17</v>
      </c>
      <c r="J732" s="16" t="s">
        <v>17</v>
      </c>
      <c r="K732" s="16" t="s">
        <v>1356</v>
      </c>
      <c r="L732" s="16" t="s">
        <v>483</v>
      </c>
      <c r="M732" s="16" t="s">
        <v>8292</v>
      </c>
      <c r="N732" s="16" t="s">
        <v>17</v>
      </c>
      <c r="O732" s="16" t="s">
        <v>6921</v>
      </c>
      <c r="P732" s="16" t="s">
        <v>17</v>
      </c>
      <c r="Q732" s="16" t="s">
        <v>6922</v>
      </c>
      <c r="R732" s="16" t="s">
        <v>6923</v>
      </c>
      <c r="S732" s="16" t="s">
        <v>17</v>
      </c>
      <c r="T732" s="16" t="s">
        <v>7302</v>
      </c>
      <c r="U732" s="16" t="s">
        <v>17</v>
      </c>
      <c r="V732" s="16" t="s">
        <v>6929</v>
      </c>
      <c r="W732" s="16" t="s">
        <v>17</v>
      </c>
      <c r="X732" s="16" t="s">
        <v>8292</v>
      </c>
      <c r="Y732" s="16" t="s">
        <v>17</v>
      </c>
      <c r="Z732" s="16" t="s">
        <v>6926</v>
      </c>
    </row>
    <row r="733" spans="1:26" x14ac:dyDescent="0.3">
      <c r="A733" s="16">
        <v>732</v>
      </c>
      <c r="B733" s="16" t="s">
        <v>7158</v>
      </c>
      <c r="C733" s="17">
        <v>9780071847841</v>
      </c>
      <c r="D733" s="17">
        <v>9780071847841</v>
      </c>
      <c r="E733" s="16" t="s">
        <v>7043</v>
      </c>
      <c r="F733" s="16" t="s">
        <v>17</v>
      </c>
      <c r="G733" s="16" t="s">
        <v>17</v>
      </c>
      <c r="H733" s="16" t="s">
        <v>17</v>
      </c>
      <c r="I733" s="16" t="s">
        <v>17</v>
      </c>
      <c r="J733" s="16" t="s">
        <v>17</v>
      </c>
      <c r="K733" s="16" t="s">
        <v>210</v>
      </c>
      <c r="L733" s="16" t="s">
        <v>7159</v>
      </c>
      <c r="M733" s="16" t="s">
        <v>7158</v>
      </c>
      <c r="N733" s="16" t="s">
        <v>17</v>
      </c>
      <c r="O733" s="16" t="s">
        <v>6921</v>
      </c>
      <c r="P733" s="16" t="s">
        <v>17</v>
      </c>
      <c r="Q733" s="16" t="s">
        <v>6922</v>
      </c>
      <c r="R733" s="16" t="s">
        <v>6923</v>
      </c>
      <c r="S733" s="16" t="s">
        <v>17</v>
      </c>
      <c r="T733" s="16" t="s">
        <v>7043</v>
      </c>
      <c r="U733" s="16" t="s">
        <v>17</v>
      </c>
      <c r="V733" s="16" t="s">
        <v>6924</v>
      </c>
      <c r="W733" s="16" t="s">
        <v>17</v>
      </c>
      <c r="X733" s="16" t="s">
        <v>7158</v>
      </c>
      <c r="Y733" s="16" t="s">
        <v>17</v>
      </c>
      <c r="Z733" s="16" t="s">
        <v>6926</v>
      </c>
    </row>
    <row r="734" spans="1:26" x14ac:dyDescent="0.3">
      <c r="A734" s="16">
        <v>733</v>
      </c>
      <c r="B734" s="16" t="s">
        <v>8467</v>
      </c>
      <c r="C734" s="17">
        <v>9781266245206</v>
      </c>
      <c r="D734" s="17">
        <v>9781266245206</v>
      </c>
      <c r="E734" s="16" t="s">
        <v>8468</v>
      </c>
      <c r="F734" s="16" t="s">
        <v>17</v>
      </c>
      <c r="G734" s="16" t="s">
        <v>17</v>
      </c>
      <c r="H734" s="16" t="s">
        <v>17</v>
      </c>
      <c r="I734" s="16" t="s">
        <v>17</v>
      </c>
      <c r="J734" s="16" t="s">
        <v>17</v>
      </c>
      <c r="K734" s="16" t="s">
        <v>1638</v>
      </c>
      <c r="L734" s="16" t="s">
        <v>7159</v>
      </c>
      <c r="M734" s="16" t="s">
        <v>8467</v>
      </c>
      <c r="N734" s="16" t="s">
        <v>17</v>
      </c>
      <c r="O734" s="16" t="s">
        <v>6921</v>
      </c>
      <c r="P734" s="16" t="s">
        <v>17</v>
      </c>
      <c r="Q734" s="16" t="s">
        <v>6922</v>
      </c>
      <c r="R734" s="16" t="s">
        <v>6923</v>
      </c>
      <c r="S734" s="16" t="s">
        <v>17</v>
      </c>
      <c r="T734" s="16" t="s">
        <v>8468</v>
      </c>
      <c r="U734" s="16" t="s">
        <v>17</v>
      </c>
      <c r="V734" s="16" t="s">
        <v>6949</v>
      </c>
      <c r="W734" s="16" t="s">
        <v>17</v>
      </c>
      <c r="X734" s="16" t="s">
        <v>8467</v>
      </c>
      <c r="Y734" s="16" t="s">
        <v>17</v>
      </c>
      <c r="Z734" s="16" t="s">
        <v>6926</v>
      </c>
    </row>
    <row r="735" spans="1:26" x14ac:dyDescent="0.3">
      <c r="A735" s="16">
        <v>734</v>
      </c>
      <c r="B735" s="16" t="s">
        <v>7944</v>
      </c>
      <c r="C735" s="17">
        <v>9780071753791</v>
      </c>
      <c r="D735" s="17">
        <v>9780071753791</v>
      </c>
      <c r="E735" s="16" t="s">
        <v>6920</v>
      </c>
      <c r="F735" s="16" t="s">
        <v>17</v>
      </c>
      <c r="G735" s="16" t="s">
        <v>17</v>
      </c>
      <c r="H735" s="16" t="s">
        <v>17</v>
      </c>
      <c r="I735" s="16" t="s">
        <v>17</v>
      </c>
      <c r="J735" s="16" t="s">
        <v>17</v>
      </c>
      <c r="K735" s="16" t="s">
        <v>968</v>
      </c>
      <c r="L735" s="16" t="s">
        <v>7945</v>
      </c>
      <c r="M735" s="16" t="s">
        <v>7944</v>
      </c>
      <c r="N735" s="16" t="s">
        <v>17</v>
      </c>
      <c r="O735" s="16" t="s">
        <v>6921</v>
      </c>
      <c r="P735" s="16" t="s">
        <v>17</v>
      </c>
      <c r="Q735" s="16" t="s">
        <v>6922</v>
      </c>
      <c r="R735" s="16" t="s">
        <v>6923</v>
      </c>
      <c r="S735" s="16" t="s">
        <v>17</v>
      </c>
      <c r="T735" s="16" t="s">
        <v>6920</v>
      </c>
      <c r="U735" s="16" t="s">
        <v>17</v>
      </c>
      <c r="V735" s="16" t="s">
        <v>6929</v>
      </c>
      <c r="W735" s="16" t="s">
        <v>17</v>
      </c>
      <c r="X735" s="16" t="s">
        <v>7944</v>
      </c>
      <c r="Y735" s="16" t="s">
        <v>17</v>
      </c>
      <c r="Z735" s="16" t="s">
        <v>6926</v>
      </c>
    </row>
    <row r="736" spans="1:26" x14ac:dyDescent="0.3">
      <c r="A736" s="16">
        <v>735</v>
      </c>
      <c r="B736" s="16" t="s">
        <v>7831</v>
      </c>
      <c r="C736" s="17">
        <v>9780071622479</v>
      </c>
      <c r="D736" s="17">
        <v>9780071622479</v>
      </c>
      <c r="E736" s="16" t="s">
        <v>6920</v>
      </c>
      <c r="F736" s="16" t="s">
        <v>17</v>
      </c>
      <c r="G736" s="16" t="s">
        <v>17</v>
      </c>
      <c r="H736" s="16" t="s">
        <v>17</v>
      </c>
      <c r="I736" s="16" t="s">
        <v>17</v>
      </c>
      <c r="J736" s="16" t="s">
        <v>17</v>
      </c>
      <c r="K736" s="16" t="s">
        <v>812</v>
      </c>
      <c r="L736" s="16" t="s">
        <v>7832</v>
      </c>
      <c r="M736" s="16" t="s">
        <v>7831</v>
      </c>
      <c r="N736" s="16" t="s">
        <v>17</v>
      </c>
      <c r="O736" s="16" t="s">
        <v>6921</v>
      </c>
      <c r="P736" s="16" t="s">
        <v>17</v>
      </c>
      <c r="Q736" s="16" t="s">
        <v>6922</v>
      </c>
      <c r="R736" s="16" t="s">
        <v>6923</v>
      </c>
      <c r="S736" s="16" t="s">
        <v>17</v>
      </c>
      <c r="T736" s="16" t="s">
        <v>6920</v>
      </c>
      <c r="U736" s="16" t="s">
        <v>17</v>
      </c>
      <c r="V736" s="16" t="s">
        <v>6929</v>
      </c>
      <c r="W736" s="16" t="s">
        <v>17</v>
      </c>
      <c r="X736" s="16" t="s">
        <v>7831</v>
      </c>
      <c r="Y736" s="16" t="s">
        <v>17</v>
      </c>
      <c r="Z736" s="16" t="s">
        <v>6926</v>
      </c>
    </row>
    <row r="737" spans="1:26" x14ac:dyDescent="0.3">
      <c r="A737" s="16">
        <v>736</v>
      </c>
      <c r="B737" s="16" t="s">
        <v>8094</v>
      </c>
      <c r="C737" s="17">
        <v>9781259585630</v>
      </c>
      <c r="D737" s="17">
        <v>9781259585630</v>
      </c>
      <c r="E737" s="16" t="s">
        <v>7377</v>
      </c>
      <c r="F737" s="16" t="s">
        <v>17</v>
      </c>
      <c r="G737" s="16" t="s">
        <v>17</v>
      </c>
      <c r="H737" s="16" t="s">
        <v>17</v>
      </c>
      <c r="I737" s="16" t="s">
        <v>17</v>
      </c>
      <c r="J737" s="16" t="s">
        <v>17</v>
      </c>
      <c r="K737" s="16" t="s">
        <v>1182</v>
      </c>
      <c r="L737" s="16" t="s">
        <v>1181</v>
      </c>
      <c r="M737" s="16" t="s">
        <v>8094</v>
      </c>
      <c r="N737" s="16" t="s">
        <v>17</v>
      </c>
      <c r="O737" s="16" t="s">
        <v>6921</v>
      </c>
      <c r="P737" s="16" t="s">
        <v>17</v>
      </c>
      <c r="Q737" s="16" t="s">
        <v>6922</v>
      </c>
      <c r="R737" s="16" t="s">
        <v>6923</v>
      </c>
      <c r="S737" s="16" t="s">
        <v>17</v>
      </c>
      <c r="T737" s="16" t="s">
        <v>7377</v>
      </c>
      <c r="U737" s="16" t="s">
        <v>17</v>
      </c>
      <c r="V737" s="16" t="s">
        <v>6929</v>
      </c>
      <c r="W737" s="16" t="s">
        <v>17</v>
      </c>
      <c r="X737" s="16" t="s">
        <v>8094</v>
      </c>
      <c r="Y737" s="16" t="s">
        <v>17</v>
      </c>
      <c r="Z737" s="16" t="s">
        <v>6926</v>
      </c>
    </row>
    <row r="738" spans="1:26" x14ac:dyDescent="0.3">
      <c r="A738" s="16">
        <v>737</v>
      </c>
      <c r="B738" s="16" t="s">
        <v>7221</v>
      </c>
      <c r="C738" s="17">
        <v>9780070620964</v>
      </c>
      <c r="D738" s="17">
        <v>9780070620964</v>
      </c>
      <c r="E738" s="16" t="s">
        <v>7222</v>
      </c>
      <c r="F738" s="16" t="s">
        <v>17</v>
      </c>
      <c r="G738" s="16" t="s">
        <v>17</v>
      </c>
      <c r="H738" s="16" t="s">
        <v>17</v>
      </c>
      <c r="I738" s="16" t="s">
        <v>17</v>
      </c>
      <c r="J738" s="16" t="s">
        <v>17</v>
      </c>
      <c r="K738" s="16" t="s">
        <v>258</v>
      </c>
      <c r="L738" s="16" t="s">
        <v>193</v>
      </c>
      <c r="M738" s="16" t="s">
        <v>7221</v>
      </c>
      <c r="N738" s="16" t="s">
        <v>17</v>
      </c>
      <c r="O738" s="16" t="s">
        <v>6921</v>
      </c>
      <c r="P738" s="16" t="s">
        <v>17</v>
      </c>
      <c r="Q738" s="16" t="s">
        <v>6922</v>
      </c>
      <c r="R738" s="16" t="s">
        <v>6923</v>
      </c>
      <c r="S738" s="16" t="s">
        <v>17</v>
      </c>
      <c r="T738" s="16" t="s">
        <v>7222</v>
      </c>
      <c r="U738" s="16" t="s">
        <v>17</v>
      </c>
      <c r="V738" s="16" t="s">
        <v>7223</v>
      </c>
      <c r="W738" s="16" t="s">
        <v>17</v>
      </c>
      <c r="X738" s="16" t="s">
        <v>7221</v>
      </c>
      <c r="Y738" s="16" t="s">
        <v>17</v>
      </c>
      <c r="Z738" s="16" t="s">
        <v>6926</v>
      </c>
    </row>
    <row r="739" spans="1:26" x14ac:dyDescent="0.3">
      <c r="A739" s="16">
        <v>738</v>
      </c>
      <c r="B739" s="16" t="s">
        <v>7249</v>
      </c>
      <c r="C739" s="17">
        <v>9780070620971</v>
      </c>
      <c r="D739" s="17">
        <v>9780070620971</v>
      </c>
      <c r="E739" s="16" t="s">
        <v>7250</v>
      </c>
      <c r="F739" s="16" t="s">
        <v>17</v>
      </c>
      <c r="G739" s="16" t="s">
        <v>17</v>
      </c>
      <c r="H739" s="16" t="s">
        <v>17</v>
      </c>
      <c r="I739" s="16" t="s">
        <v>17</v>
      </c>
      <c r="J739" s="16" t="s">
        <v>17</v>
      </c>
      <c r="K739" s="16" t="s">
        <v>281</v>
      </c>
      <c r="L739" s="16" t="s">
        <v>193</v>
      </c>
      <c r="M739" s="16" t="s">
        <v>7249</v>
      </c>
      <c r="N739" s="16" t="s">
        <v>17</v>
      </c>
      <c r="O739" s="16" t="s">
        <v>6921</v>
      </c>
      <c r="P739" s="16" t="s">
        <v>17</v>
      </c>
      <c r="Q739" s="16" t="s">
        <v>6922</v>
      </c>
      <c r="R739" s="16" t="s">
        <v>6923</v>
      </c>
      <c r="S739" s="16" t="s">
        <v>17</v>
      </c>
      <c r="T739" s="16" t="s">
        <v>7250</v>
      </c>
      <c r="U739" s="16" t="s">
        <v>17</v>
      </c>
      <c r="V739" s="16" t="s">
        <v>7251</v>
      </c>
      <c r="W739" s="16" t="s">
        <v>17</v>
      </c>
      <c r="X739" s="16" t="s">
        <v>7249</v>
      </c>
      <c r="Y739" s="16" t="s">
        <v>17</v>
      </c>
      <c r="Z739" s="16" t="s">
        <v>6926</v>
      </c>
    </row>
    <row r="740" spans="1:26" x14ac:dyDescent="0.3">
      <c r="A740" s="16">
        <v>739</v>
      </c>
      <c r="B740" s="16" t="s">
        <v>7134</v>
      </c>
      <c r="C740" s="17">
        <v>9780070620988</v>
      </c>
      <c r="D740" s="17">
        <v>9780070620988</v>
      </c>
      <c r="E740" s="16" t="s">
        <v>7135</v>
      </c>
      <c r="F740" s="16" t="s">
        <v>17</v>
      </c>
      <c r="G740" s="16" t="s">
        <v>17</v>
      </c>
      <c r="H740" s="16" t="s">
        <v>17</v>
      </c>
      <c r="I740" s="16" t="s">
        <v>17</v>
      </c>
      <c r="J740" s="16" t="s">
        <v>17</v>
      </c>
      <c r="K740" s="16" t="s">
        <v>194</v>
      </c>
      <c r="L740" s="16" t="s">
        <v>193</v>
      </c>
      <c r="M740" s="16" t="s">
        <v>7134</v>
      </c>
      <c r="N740" s="16" t="s">
        <v>17</v>
      </c>
      <c r="O740" s="16" t="s">
        <v>6921</v>
      </c>
      <c r="P740" s="16" t="s">
        <v>17</v>
      </c>
      <c r="Q740" s="16" t="s">
        <v>6922</v>
      </c>
      <c r="R740" s="16" t="s">
        <v>6923</v>
      </c>
      <c r="S740" s="16" t="s">
        <v>17</v>
      </c>
      <c r="T740" s="16" t="s">
        <v>7135</v>
      </c>
      <c r="U740" s="16" t="s">
        <v>17</v>
      </c>
      <c r="V740" s="16" t="s">
        <v>7136</v>
      </c>
      <c r="W740" s="16" t="s">
        <v>17</v>
      </c>
      <c r="X740" s="16" t="s">
        <v>7134</v>
      </c>
      <c r="Y740" s="16" t="s">
        <v>17</v>
      </c>
      <c r="Z740" s="16" t="s">
        <v>6926</v>
      </c>
    </row>
    <row r="741" spans="1:26" x14ac:dyDescent="0.3">
      <c r="A741" s="16">
        <v>740</v>
      </c>
      <c r="B741" s="16" t="s">
        <v>7710</v>
      </c>
      <c r="C741" s="17">
        <v>9780071825160</v>
      </c>
      <c r="D741" s="17">
        <v>9780071825160</v>
      </c>
      <c r="E741" s="16" t="s">
        <v>6947</v>
      </c>
      <c r="F741" s="16" t="s">
        <v>17</v>
      </c>
      <c r="G741" s="16" t="s">
        <v>17</v>
      </c>
      <c r="H741" s="16" t="s">
        <v>17</v>
      </c>
      <c r="I741" s="16" t="s">
        <v>17</v>
      </c>
      <c r="J741" s="16" t="s">
        <v>17</v>
      </c>
      <c r="K741" s="16" t="s">
        <v>696</v>
      </c>
      <c r="L741" s="16" t="s">
        <v>7711</v>
      </c>
      <c r="M741" s="16" t="s">
        <v>7710</v>
      </c>
      <c r="N741" s="16" t="s">
        <v>17</v>
      </c>
      <c r="O741" s="16" t="s">
        <v>6921</v>
      </c>
      <c r="P741" s="16" t="s">
        <v>17</v>
      </c>
      <c r="Q741" s="16" t="s">
        <v>6922</v>
      </c>
      <c r="R741" s="16" t="s">
        <v>6923</v>
      </c>
      <c r="S741" s="16" t="s">
        <v>17</v>
      </c>
      <c r="T741" s="16" t="s">
        <v>6947</v>
      </c>
      <c r="U741" s="16" t="s">
        <v>17</v>
      </c>
      <c r="V741" s="16" t="s">
        <v>6929</v>
      </c>
      <c r="W741" s="16" t="s">
        <v>17</v>
      </c>
      <c r="X741" s="16" t="s">
        <v>7710</v>
      </c>
      <c r="Y741" s="16" t="s">
        <v>17</v>
      </c>
      <c r="Z741" s="16" t="s">
        <v>6926</v>
      </c>
    </row>
    <row r="742" spans="1:26" x14ac:dyDescent="0.3">
      <c r="A742" s="16">
        <v>741</v>
      </c>
      <c r="B742" s="16" t="s">
        <v>7162</v>
      </c>
      <c r="C742" s="17">
        <v>9780071828628</v>
      </c>
      <c r="D742" s="17">
        <v>9780071828628</v>
      </c>
      <c r="E742" s="16" t="s">
        <v>6965</v>
      </c>
      <c r="F742" s="16" t="s">
        <v>17</v>
      </c>
      <c r="G742" s="16" t="s">
        <v>17</v>
      </c>
      <c r="H742" s="16" t="s">
        <v>17</v>
      </c>
      <c r="I742" s="16" t="s">
        <v>17</v>
      </c>
      <c r="J742" s="16" t="s">
        <v>17</v>
      </c>
      <c r="K742" s="16" t="s">
        <v>213</v>
      </c>
      <c r="L742" s="16" t="s">
        <v>212</v>
      </c>
      <c r="M742" s="16" t="s">
        <v>7162</v>
      </c>
      <c r="N742" s="16" t="s">
        <v>17</v>
      </c>
      <c r="O742" s="16" t="s">
        <v>6921</v>
      </c>
      <c r="P742" s="16" t="s">
        <v>17</v>
      </c>
      <c r="Q742" s="16" t="s">
        <v>6922</v>
      </c>
      <c r="R742" s="16" t="s">
        <v>6923</v>
      </c>
      <c r="S742" s="16" t="s">
        <v>17</v>
      </c>
      <c r="T742" s="16" t="s">
        <v>6965</v>
      </c>
      <c r="U742" s="16" t="s">
        <v>17</v>
      </c>
      <c r="V742" s="16" t="s">
        <v>6924</v>
      </c>
      <c r="W742" s="16" t="s">
        <v>17</v>
      </c>
      <c r="X742" s="16" t="s">
        <v>7162</v>
      </c>
      <c r="Y742" s="16" t="s">
        <v>17</v>
      </c>
      <c r="Z742" s="16" t="s">
        <v>6926</v>
      </c>
    </row>
    <row r="743" spans="1:26" x14ac:dyDescent="0.3">
      <c r="A743" s="16">
        <v>742</v>
      </c>
      <c r="B743" s="16" t="s">
        <v>8408</v>
      </c>
      <c r="C743" s="17">
        <v>9780071634977</v>
      </c>
      <c r="D743" s="17">
        <v>9780071634977</v>
      </c>
      <c r="E743" s="16" t="s">
        <v>8405</v>
      </c>
      <c r="F743" s="16" t="s">
        <v>17</v>
      </c>
      <c r="G743" s="16" t="s">
        <v>17</v>
      </c>
      <c r="H743" s="16" t="s">
        <v>17</v>
      </c>
      <c r="I743" s="16" t="s">
        <v>17</v>
      </c>
      <c r="J743" s="16" t="s">
        <v>17</v>
      </c>
      <c r="K743" s="16" t="s">
        <v>1604</v>
      </c>
      <c r="L743" s="16" t="s">
        <v>8409</v>
      </c>
      <c r="M743" s="16" t="s">
        <v>8408</v>
      </c>
      <c r="N743" s="16" t="s">
        <v>17</v>
      </c>
      <c r="O743" s="16" t="s">
        <v>6921</v>
      </c>
      <c r="P743" s="16" t="s">
        <v>17</v>
      </c>
      <c r="Q743" s="16" t="s">
        <v>6922</v>
      </c>
      <c r="R743" s="16" t="s">
        <v>6923</v>
      </c>
      <c r="S743" s="16" t="s">
        <v>17</v>
      </c>
      <c r="T743" s="16" t="s">
        <v>8405</v>
      </c>
      <c r="U743" s="16" t="s">
        <v>17</v>
      </c>
      <c r="V743" s="16" t="s">
        <v>6929</v>
      </c>
      <c r="W743" s="16" t="s">
        <v>17</v>
      </c>
      <c r="X743" s="16" t="s">
        <v>8408</v>
      </c>
      <c r="Y743" s="16" t="s">
        <v>17</v>
      </c>
      <c r="Z743" s="16" t="s">
        <v>6926</v>
      </c>
    </row>
    <row r="744" spans="1:26" x14ac:dyDescent="0.3">
      <c r="A744" s="16">
        <v>743</v>
      </c>
      <c r="B744" s="16" t="s">
        <v>8311</v>
      </c>
      <c r="C744" s="17">
        <v>9781260453751</v>
      </c>
      <c r="D744" s="17">
        <v>9781260453751</v>
      </c>
      <c r="E744" s="16" t="s">
        <v>8312</v>
      </c>
      <c r="F744" s="16" t="s">
        <v>17</v>
      </c>
      <c r="G744" s="16" t="s">
        <v>17</v>
      </c>
      <c r="H744" s="16" t="s">
        <v>17</v>
      </c>
      <c r="I744" s="16" t="s">
        <v>17</v>
      </c>
      <c r="J744" s="16" t="s">
        <v>17</v>
      </c>
      <c r="K744" s="16" t="s">
        <v>1366</v>
      </c>
      <c r="L744" s="16" t="s">
        <v>8313</v>
      </c>
      <c r="M744" s="16" t="s">
        <v>8311</v>
      </c>
      <c r="N744" s="16" t="s">
        <v>17</v>
      </c>
      <c r="O744" s="16" t="s">
        <v>6921</v>
      </c>
      <c r="P744" s="16" t="s">
        <v>17</v>
      </c>
      <c r="Q744" s="16" t="s">
        <v>6922</v>
      </c>
      <c r="R744" s="16" t="s">
        <v>6923</v>
      </c>
      <c r="S744" s="16" t="s">
        <v>17</v>
      </c>
      <c r="T744" s="16" t="s">
        <v>8312</v>
      </c>
      <c r="U744" s="16" t="s">
        <v>17</v>
      </c>
      <c r="V744" s="16" t="s">
        <v>7359</v>
      </c>
      <c r="W744" s="16" t="s">
        <v>17</v>
      </c>
      <c r="X744" s="16" t="s">
        <v>8311</v>
      </c>
      <c r="Y744" s="16" t="s">
        <v>17</v>
      </c>
      <c r="Z744" s="16" t="s">
        <v>6926</v>
      </c>
    </row>
    <row r="745" spans="1:26" x14ac:dyDescent="0.3">
      <c r="A745" s="16">
        <v>744</v>
      </c>
      <c r="B745" s="16" t="s">
        <v>1560</v>
      </c>
      <c r="C745" s="17">
        <v>9780071742474</v>
      </c>
      <c r="D745" s="17">
        <v>9780071742474</v>
      </c>
      <c r="E745" s="16" t="s">
        <v>8387</v>
      </c>
      <c r="F745" s="16" t="s">
        <v>17</v>
      </c>
      <c r="G745" s="16" t="s">
        <v>17</v>
      </c>
      <c r="H745" s="16" t="s">
        <v>17</v>
      </c>
      <c r="I745" s="16" t="s">
        <v>17</v>
      </c>
      <c r="J745" s="16" t="s">
        <v>17</v>
      </c>
      <c r="K745" s="16" t="s">
        <v>1562</v>
      </c>
      <c r="L745" s="16" t="s">
        <v>1561</v>
      </c>
      <c r="M745" s="16" t="s">
        <v>1560</v>
      </c>
      <c r="N745" s="16" t="s">
        <v>17</v>
      </c>
      <c r="O745" s="16" t="s">
        <v>6921</v>
      </c>
      <c r="P745" s="16" t="s">
        <v>17</v>
      </c>
      <c r="Q745" s="16" t="s">
        <v>6922</v>
      </c>
      <c r="R745" s="16" t="s">
        <v>6923</v>
      </c>
      <c r="S745" s="16" t="s">
        <v>17</v>
      </c>
      <c r="T745" s="16" t="s">
        <v>8387</v>
      </c>
      <c r="U745" s="16" t="s">
        <v>17</v>
      </c>
      <c r="V745" s="16" t="s">
        <v>8329</v>
      </c>
      <c r="W745" s="16" t="s">
        <v>17</v>
      </c>
      <c r="X745" s="16" t="s">
        <v>1560</v>
      </c>
      <c r="Y745" s="16" t="s">
        <v>17</v>
      </c>
      <c r="Z745" s="16" t="s">
        <v>6926</v>
      </c>
    </row>
    <row r="746" spans="1:26" x14ac:dyDescent="0.3">
      <c r="A746" s="16">
        <v>745</v>
      </c>
      <c r="B746" s="16" t="s">
        <v>7409</v>
      </c>
      <c r="C746" s="17">
        <v>9781260135015</v>
      </c>
      <c r="D746" s="17">
        <v>9781260135015</v>
      </c>
      <c r="E746" s="16" t="s">
        <v>7410</v>
      </c>
      <c r="F746" s="16" t="s">
        <v>17</v>
      </c>
      <c r="G746" s="16" t="s">
        <v>17</v>
      </c>
      <c r="H746" s="16" t="s">
        <v>17</v>
      </c>
      <c r="I746" s="16" t="s">
        <v>17</v>
      </c>
      <c r="J746" s="16" t="s">
        <v>17</v>
      </c>
      <c r="K746" s="16" t="s">
        <v>420</v>
      </c>
      <c r="L746" s="16" t="s">
        <v>419</v>
      </c>
      <c r="M746" s="16" t="s">
        <v>7409</v>
      </c>
      <c r="N746" s="16" t="s">
        <v>17</v>
      </c>
      <c r="O746" s="16" t="s">
        <v>6921</v>
      </c>
      <c r="P746" s="16" t="s">
        <v>17</v>
      </c>
      <c r="Q746" s="16" t="s">
        <v>6922</v>
      </c>
      <c r="R746" s="16" t="s">
        <v>6923</v>
      </c>
      <c r="S746" s="16" t="s">
        <v>17</v>
      </c>
      <c r="T746" s="16" t="s">
        <v>7410</v>
      </c>
      <c r="U746" s="16" t="s">
        <v>17</v>
      </c>
      <c r="V746" s="16" t="s">
        <v>6944</v>
      </c>
      <c r="W746" s="16" t="s">
        <v>17</v>
      </c>
      <c r="X746" s="16" t="s">
        <v>7409</v>
      </c>
      <c r="Y746" s="16" t="s">
        <v>17</v>
      </c>
      <c r="Z746" s="16" t="s">
        <v>6926</v>
      </c>
    </row>
    <row r="747" spans="1:26" x14ac:dyDescent="0.3">
      <c r="A747" s="16">
        <v>746</v>
      </c>
      <c r="B747" s="16" t="s">
        <v>826</v>
      </c>
      <c r="C747" s="17">
        <v>9780071750363</v>
      </c>
      <c r="D747" s="17">
        <v>9780071750363</v>
      </c>
      <c r="E747" s="16" t="s">
        <v>7478</v>
      </c>
      <c r="F747" s="16" t="s">
        <v>17</v>
      </c>
      <c r="G747" s="16" t="s">
        <v>17</v>
      </c>
      <c r="H747" s="16" t="s">
        <v>17</v>
      </c>
      <c r="I747" s="16" t="s">
        <v>17</v>
      </c>
      <c r="J747" s="16" t="s">
        <v>17</v>
      </c>
      <c r="K747" s="16" t="s">
        <v>827</v>
      </c>
      <c r="L747" s="16" t="s">
        <v>419</v>
      </c>
      <c r="M747" s="16" t="s">
        <v>826</v>
      </c>
      <c r="N747" s="16" t="s">
        <v>17</v>
      </c>
      <c r="O747" s="16" t="s">
        <v>6921</v>
      </c>
      <c r="P747" s="16" t="s">
        <v>17</v>
      </c>
      <c r="Q747" s="16" t="s">
        <v>6922</v>
      </c>
      <c r="R747" s="16" t="s">
        <v>6923</v>
      </c>
      <c r="S747" s="16" t="s">
        <v>17</v>
      </c>
      <c r="T747" s="16" t="s">
        <v>7478</v>
      </c>
      <c r="U747" s="16" t="s">
        <v>17</v>
      </c>
      <c r="V747" s="16" t="s">
        <v>7841</v>
      </c>
      <c r="W747" s="16" t="s">
        <v>17</v>
      </c>
      <c r="X747" s="16" t="s">
        <v>826</v>
      </c>
      <c r="Y747" s="16" t="s">
        <v>17</v>
      </c>
      <c r="Z747" s="16" t="s">
        <v>6926</v>
      </c>
    </row>
    <row r="748" spans="1:26" x14ac:dyDescent="0.3">
      <c r="A748" s="16">
        <v>747</v>
      </c>
      <c r="B748" s="16" t="s">
        <v>7407</v>
      </c>
      <c r="C748" s="17">
        <v>9780070077911</v>
      </c>
      <c r="D748" s="17">
        <v>9780070077911</v>
      </c>
      <c r="E748" s="16" t="s">
        <v>6947</v>
      </c>
      <c r="F748" s="16" t="s">
        <v>17</v>
      </c>
      <c r="G748" s="16" t="s">
        <v>17</v>
      </c>
      <c r="H748" s="16" t="s">
        <v>17</v>
      </c>
      <c r="I748" s="16" t="s">
        <v>17</v>
      </c>
      <c r="J748" s="16" t="s">
        <v>17</v>
      </c>
      <c r="K748" s="16" t="s">
        <v>418</v>
      </c>
      <c r="L748" s="16" t="s">
        <v>7408</v>
      </c>
      <c r="M748" s="16" t="s">
        <v>7407</v>
      </c>
      <c r="N748" s="16" t="s">
        <v>17</v>
      </c>
      <c r="O748" s="16" t="s">
        <v>6921</v>
      </c>
      <c r="P748" s="16" t="s">
        <v>17</v>
      </c>
      <c r="Q748" s="16" t="s">
        <v>6922</v>
      </c>
      <c r="R748" s="16" t="s">
        <v>6923</v>
      </c>
      <c r="S748" s="16" t="s">
        <v>17</v>
      </c>
      <c r="T748" s="16" t="s">
        <v>6947</v>
      </c>
      <c r="U748" s="16" t="s">
        <v>17</v>
      </c>
      <c r="V748" s="16" t="s">
        <v>6924</v>
      </c>
      <c r="W748" s="16" t="s">
        <v>17</v>
      </c>
      <c r="X748" s="16" t="s">
        <v>7407</v>
      </c>
      <c r="Y748" s="16" t="s">
        <v>17</v>
      </c>
      <c r="Z748" s="16" t="s">
        <v>6926</v>
      </c>
    </row>
    <row r="749" spans="1:26" x14ac:dyDescent="0.3">
      <c r="A749" s="16">
        <v>748</v>
      </c>
      <c r="B749" s="16" t="s">
        <v>7959</v>
      </c>
      <c r="C749" s="17">
        <v>9781259859786</v>
      </c>
      <c r="D749" s="17">
        <v>9781259859786</v>
      </c>
      <c r="E749" s="16" t="s">
        <v>7870</v>
      </c>
      <c r="F749" s="16" t="s">
        <v>17</v>
      </c>
      <c r="G749" s="16" t="s">
        <v>17</v>
      </c>
      <c r="H749" s="16" t="s">
        <v>17</v>
      </c>
      <c r="I749" s="16" t="s">
        <v>17</v>
      </c>
      <c r="J749" s="16" t="s">
        <v>17</v>
      </c>
      <c r="K749" s="16" t="s">
        <v>996</v>
      </c>
      <c r="L749" s="16" t="s">
        <v>7507</v>
      </c>
      <c r="M749" s="16" t="s">
        <v>7959</v>
      </c>
      <c r="N749" s="16" t="s">
        <v>17</v>
      </c>
      <c r="O749" s="16" t="s">
        <v>6921</v>
      </c>
      <c r="P749" s="16" t="s">
        <v>17</v>
      </c>
      <c r="Q749" s="16" t="s">
        <v>6922</v>
      </c>
      <c r="R749" s="16" t="s">
        <v>6923</v>
      </c>
      <c r="S749" s="16" t="s">
        <v>17</v>
      </c>
      <c r="T749" s="16" t="s">
        <v>7870</v>
      </c>
      <c r="U749" s="16" t="s">
        <v>17</v>
      </c>
      <c r="V749" s="16" t="s">
        <v>6929</v>
      </c>
      <c r="W749" s="16" t="s">
        <v>17</v>
      </c>
      <c r="X749" s="16" t="s">
        <v>7959</v>
      </c>
      <c r="Y749" s="16" t="s">
        <v>17</v>
      </c>
      <c r="Z749" s="16" t="s">
        <v>6926</v>
      </c>
    </row>
    <row r="750" spans="1:26" x14ac:dyDescent="0.3">
      <c r="A750" s="16">
        <v>749</v>
      </c>
      <c r="B750" s="16" t="s">
        <v>8389</v>
      </c>
      <c r="C750" s="17">
        <v>9780071633512</v>
      </c>
      <c r="D750" s="17">
        <v>9780071633512</v>
      </c>
      <c r="E750" s="16" t="s">
        <v>6920</v>
      </c>
      <c r="F750" s="16" t="s">
        <v>17</v>
      </c>
      <c r="G750" s="16" t="s">
        <v>17</v>
      </c>
      <c r="H750" s="16" t="s">
        <v>17</v>
      </c>
      <c r="I750" s="16" t="s">
        <v>17</v>
      </c>
      <c r="J750" s="16" t="s">
        <v>17</v>
      </c>
      <c r="K750" s="16" t="s">
        <v>1571</v>
      </c>
      <c r="L750" s="16" t="s">
        <v>7330</v>
      </c>
      <c r="M750" s="16" t="s">
        <v>8389</v>
      </c>
      <c r="N750" s="16" t="s">
        <v>17</v>
      </c>
      <c r="O750" s="16" t="s">
        <v>6921</v>
      </c>
      <c r="P750" s="16" t="s">
        <v>17</v>
      </c>
      <c r="Q750" s="16" t="s">
        <v>6922</v>
      </c>
      <c r="R750" s="16" t="s">
        <v>6923</v>
      </c>
      <c r="S750" s="16" t="s">
        <v>17</v>
      </c>
      <c r="T750" s="16" t="s">
        <v>6920</v>
      </c>
      <c r="U750" s="16" t="s">
        <v>17</v>
      </c>
      <c r="V750" s="16" t="s">
        <v>6929</v>
      </c>
      <c r="W750" s="16" t="s">
        <v>17</v>
      </c>
      <c r="X750" s="16" t="s">
        <v>8389</v>
      </c>
      <c r="Y750" s="16" t="s">
        <v>17</v>
      </c>
      <c r="Z750" s="16" t="s">
        <v>6926</v>
      </c>
    </row>
    <row r="751" spans="1:26" x14ac:dyDescent="0.3">
      <c r="A751" s="16">
        <v>750</v>
      </c>
      <c r="B751" s="16" t="s">
        <v>7716</v>
      </c>
      <c r="C751" s="17">
        <v>9781265224448</v>
      </c>
      <c r="D751" s="17">
        <v>9781265224448</v>
      </c>
      <c r="E751" s="16" t="s">
        <v>7578</v>
      </c>
      <c r="F751" s="16" t="s">
        <v>17</v>
      </c>
      <c r="G751" s="16" t="s">
        <v>17</v>
      </c>
      <c r="H751" s="16" t="s">
        <v>17</v>
      </c>
      <c r="I751" s="16" t="s">
        <v>17</v>
      </c>
      <c r="J751" s="16" t="s">
        <v>17</v>
      </c>
      <c r="K751" s="16" t="s">
        <v>703</v>
      </c>
      <c r="L751" s="16" t="s">
        <v>702</v>
      </c>
      <c r="M751" s="16" t="s">
        <v>7716</v>
      </c>
      <c r="N751" s="16" t="s">
        <v>17</v>
      </c>
      <c r="O751" s="16" t="s">
        <v>6921</v>
      </c>
      <c r="P751" s="16" t="s">
        <v>17</v>
      </c>
      <c r="Q751" s="16" t="s">
        <v>6922</v>
      </c>
      <c r="R751" s="16" t="s">
        <v>6923</v>
      </c>
      <c r="S751" s="16" t="s">
        <v>17</v>
      </c>
      <c r="T751" s="16" t="s">
        <v>7578</v>
      </c>
      <c r="U751" s="16" t="s">
        <v>17</v>
      </c>
      <c r="V751" s="16" t="s">
        <v>6929</v>
      </c>
      <c r="W751" s="16" t="s">
        <v>17</v>
      </c>
      <c r="X751" s="16" t="s">
        <v>7716</v>
      </c>
      <c r="Y751" s="16" t="s">
        <v>17</v>
      </c>
      <c r="Z751" s="16" t="s">
        <v>6926</v>
      </c>
    </row>
    <row r="752" spans="1:26" x14ac:dyDescent="0.3">
      <c r="A752" s="16">
        <v>751</v>
      </c>
      <c r="B752" s="16" t="s">
        <v>7609</v>
      </c>
      <c r="C752" s="17">
        <v>9780071462983</v>
      </c>
      <c r="D752" s="17">
        <v>9780071462983</v>
      </c>
      <c r="E752" s="16" t="s">
        <v>6920</v>
      </c>
      <c r="F752" s="16" t="s">
        <v>17</v>
      </c>
      <c r="G752" s="16" t="s">
        <v>17</v>
      </c>
      <c r="H752" s="16" t="s">
        <v>17</v>
      </c>
      <c r="I752" s="16" t="s">
        <v>17</v>
      </c>
      <c r="J752" s="16" t="s">
        <v>17</v>
      </c>
      <c r="K752" s="16" t="s">
        <v>604</v>
      </c>
      <c r="L752" s="16" t="s">
        <v>603</v>
      </c>
      <c r="M752" s="16" t="s">
        <v>7609</v>
      </c>
      <c r="N752" s="16" t="s">
        <v>17</v>
      </c>
      <c r="O752" s="16" t="s">
        <v>6921</v>
      </c>
      <c r="P752" s="16" t="s">
        <v>17</v>
      </c>
      <c r="Q752" s="16" t="s">
        <v>6922</v>
      </c>
      <c r="R752" s="16" t="s">
        <v>6923</v>
      </c>
      <c r="S752" s="16" t="s">
        <v>17</v>
      </c>
      <c r="T752" s="16" t="s">
        <v>6920</v>
      </c>
      <c r="U752" s="16" t="s">
        <v>17</v>
      </c>
      <c r="V752" s="16" t="s">
        <v>7024</v>
      </c>
      <c r="W752" s="16" t="s">
        <v>17</v>
      </c>
      <c r="X752" s="16" t="s">
        <v>7609</v>
      </c>
      <c r="Y752" s="16" t="s">
        <v>17</v>
      </c>
      <c r="Z752" s="16" t="s">
        <v>6926</v>
      </c>
    </row>
    <row r="753" spans="1:26" x14ac:dyDescent="0.3">
      <c r="A753" s="16">
        <v>752</v>
      </c>
      <c r="B753" s="16" t="s">
        <v>7609</v>
      </c>
      <c r="C753" s="17">
        <v>9781265372545</v>
      </c>
      <c r="D753" s="17">
        <v>9781265372545</v>
      </c>
      <c r="E753" s="16" t="s">
        <v>8400</v>
      </c>
      <c r="F753" s="16" t="s">
        <v>17</v>
      </c>
      <c r="G753" s="16" t="s">
        <v>17</v>
      </c>
      <c r="H753" s="16" t="s">
        <v>17</v>
      </c>
      <c r="I753" s="16" t="s">
        <v>17</v>
      </c>
      <c r="J753" s="16" t="s">
        <v>17</v>
      </c>
      <c r="K753" s="16" t="s">
        <v>1596</v>
      </c>
      <c r="L753" s="16" t="s">
        <v>603</v>
      </c>
      <c r="M753" s="16" t="s">
        <v>7609</v>
      </c>
      <c r="N753" s="16" t="s">
        <v>17</v>
      </c>
      <c r="O753" s="16" t="s">
        <v>6921</v>
      </c>
      <c r="P753" s="16" t="s">
        <v>17</v>
      </c>
      <c r="Q753" s="16" t="s">
        <v>6922</v>
      </c>
      <c r="R753" s="16" t="s">
        <v>6923</v>
      </c>
      <c r="S753" s="16" t="s">
        <v>17</v>
      </c>
      <c r="T753" s="16" t="s">
        <v>8400</v>
      </c>
      <c r="U753" s="16" t="s">
        <v>17</v>
      </c>
      <c r="V753" s="16" t="s">
        <v>6944</v>
      </c>
      <c r="W753" s="16" t="s">
        <v>17</v>
      </c>
      <c r="X753" s="16" t="s">
        <v>7609</v>
      </c>
      <c r="Y753" s="16" t="s">
        <v>17</v>
      </c>
      <c r="Z753" s="16" t="s">
        <v>6926</v>
      </c>
    </row>
    <row r="754" spans="1:26" x14ac:dyDescent="0.3">
      <c r="A754" s="16">
        <v>753</v>
      </c>
      <c r="B754" s="16" t="s">
        <v>1089</v>
      </c>
      <c r="C754" s="17">
        <v>9780071369978</v>
      </c>
      <c r="D754" s="17">
        <v>9780071369978</v>
      </c>
      <c r="E754" s="16" t="s">
        <v>7057</v>
      </c>
      <c r="F754" s="16" t="s">
        <v>17</v>
      </c>
      <c r="G754" s="16" t="s">
        <v>17</v>
      </c>
      <c r="H754" s="16" t="s">
        <v>17</v>
      </c>
      <c r="I754" s="16" t="s">
        <v>17</v>
      </c>
      <c r="J754" s="16" t="s">
        <v>17</v>
      </c>
      <c r="K754" s="16" t="s">
        <v>1090</v>
      </c>
      <c r="L754" s="16" t="s">
        <v>714</v>
      </c>
      <c r="M754" s="16" t="s">
        <v>1089</v>
      </c>
      <c r="N754" s="16" t="s">
        <v>17</v>
      </c>
      <c r="O754" s="16" t="s">
        <v>6921</v>
      </c>
      <c r="P754" s="16" t="s">
        <v>17</v>
      </c>
      <c r="Q754" s="16" t="s">
        <v>6922</v>
      </c>
      <c r="R754" s="16" t="s">
        <v>6923</v>
      </c>
      <c r="S754" s="16" t="s">
        <v>17</v>
      </c>
      <c r="T754" s="16" t="s">
        <v>7057</v>
      </c>
      <c r="U754" s="16" t="s">
        <v>17</v>
      </c>
      <c r="V754" s="16" t="s">
        <v>7866</v>
      </c>
      <c r="W754" s="16" t="s">
        <v>17</v>
      </c>
      <c r="X754" s="16" t="s">
        <v>1089</v>
      </c>
      <c r="Y754" s="16" t="s">
        <v>17</v>
      </c>
      <c r="Z754" s="16" t="s">
        <v>6926</v>
      </c>
    </row>
    <row r="755" spans="1:26" x14ac:dyDescent="0.3">
      <c r="A755" s="16">
        <v>754</v>
      </c>
      <c r="B755" s="16" t="s">
        <v>7728</v>
      </c>
      <c r="C755" s="17">
        <v>9780071472890</v>
      </c>
      <c r="D755" s="17">
        <v>9780071472890</v>
      </c>
      <c r="E755" s="16" t="s">
        <v>7057</v>
      </c>
      <c r="F755" s="16" t="s">
        <v>17</v>
      </c>
      <c r="G755" s="16" t="s">
        <v>17</v>
      </c>
      <c r="H755" s="16" t="s">
        <v>17</v>
      </c>
      <c r="I755" s="16" t="s">
        <v>17</v>
      </c>
      <c r="J755" s="16" t="s">
        <v>17</v>
      </c>
      <c r="K755" s="16" t="s">
        <v>715</v>
      </c>
      <c r="L755" s="16" t="s">
        <v>714</v>
      </c>
      <c r="M755" s="16" t="s">
        <v>7728</v>
      </c>
      <c r="N755" s="16" t="s">
        <v>17</v>
      </c>
      <c r="O755" s="16" t="s">
        <v>6921</v>
      </c>
      <c r="P755" s="16" t="s">
        <v>17</v>
      </c>
      <c r="Q755" s="16" t="s">
        <v>6922</v>
      </c>
      <c r="R755" s="16" t="s">
        <v>6923</v>
      </c>
      <c r="S755" s="16" t="s">
        <v>17</v>
      </c>
      <c r="T755" s="16" t="s">
        <v>7057</v>
      </c>
      <c r="U755" s="16" t="s">
        <v>17</v>
      </c>
      <c r="V755" s="16" t="s">
        <v>6924</v>
      </c>
      <c r="W755" s="16" t="s">
        <v>17</v>
      </c>
      <c r="X755" s="16" t="s">
        <v>7728</v>
      </c>
      <c r="Y755" s="16" t="s">
        <v>17</v>
      </c>
      <c r="Z755" s="16" t="s">
        <v>6926</v>
      </c>
    </row>
    <row r="756" spans="1:26" x14ac:dyDescent="0.3">
      <c r="A756" s="16">
        <v>755</v>
      </c>
      <c r="B756" s="16" t="s">
        <v>7014</v>
      </c>
      <c r="C756" s="17">
        <v>9780071826266</v>
      </c>
      <c r="D756" s="17">
        <v>9780071826266</v>
      </c>
      <c r="E756" s="16" t="s">
        <v>6955</v>
      </c>
      <c r="F756" s="16" t="s">
        <v>17</v>
      </c>
      <c r="G756" s="16" t="s">
        <v>17</v>
      </c>
      <c r="H756" s="16" t="s">
        <v>17</v>
      </c>
      <c r="I756" s="16" t="s">
        <v>17</v>
      </c>
      <c r="J756" s="16" t="s">
        <v>17</v>
      </c>
      <c r="K756" s="16" t="s">
        <v>83</v>
      </c>
      <c r="L756" s="16" t="s">
        <v>17</v>
      </c>
      <c r="M756" s="16" t="s">
        <v>7014</v>
      </c>
      <c r="N756" s="16" t="s">
        <v>17</v>
      </c>
      <c r="O756" s="16" t="s">
        <v>6921</v>
      </c>
      <c r="P756" s="16" t="s">
        <v>17</v>
      </c>
      <c r="Q756" s="16" t="s">
        <v>6922</v>
      </c>
      <c r="R756" s="16" t="s">
        <v>6923</v>
      </c>
      <c r="S756" s="16" t="s">
        <v>17</v>
      </c>
      <c r="T756" s="16" t="s">
        <v>6955</v>
      </c>
      <c r="U756" s="16" t="s">
        <v>17</v>
      </c>
      <c r="V756" s="16" t="s">
        <v>6929</v>
      </c>
      <c r="W756" s="16" t="s">
        <v>7015</v>
      </c>
      <c r="X756" s="16" t="s">
        <v>7014</v>
      </c>
      <c r="Y756" s="16" t="s">
        <v>17</v>
      </c>
      <c r="Z756" s="16" t="s">
        <v>6926</v>
      </c>
    </row>
    <row r="757" spans="1:26" x14ac:dyDescent="0.3">
      <c r="A757" s="16">
        <v>756</v>
      </c>
      <c r="B757" s="16" t="s">
        <v>6984</v>
      </c>
      <c r="C757" s="17">
        <v>9780071623667</v>
      </c>
      <c r="D757" s="17">
        <v>9780071623667</v>
      </c>
      <c r="E757" s="16" t="s">
        <v>6985</v>
      </c>
      <c r="F757" s="16" t="s">
        <v>17</v>
      </c>
      <c r="G757" s="16" t="s">
        <v>17</v>
      </c>
      <c r="H757" s="16" t="s">
        <v>17</v>
      </c>
      <c r="I757" s="16" t="s">
        <v>17</v>
      </c>
      <c r="J757" s="16" t="s">
        <v>17</v>
      </c>
      <c r="K757" s="16" t="s">
        <v>62</v>
      </c>
      <c r="L757" s="16" t="s">
        <v>60</v>
      </c>
      <c r="M757" s="16" t="s">
        <v>6984</v>
      </c>
      <c r="N757" s="16" t="s">
        <v>17</v>
      </c>
      <c r="O757" s="16" t="s">
        <v>6921</v>
      </c>
      <c r="P757" s="16" t="s">
        <v>17</v>
      </c>
      <c r="Q757" s="16" t="s">
        <v>6922</v>
      </c>
      <c r="R757" s="16" t="s">
        <v>6923</v>
      </c>
      <c r="S757" s="16" t="s">
        <v>17</v>
      </c>
      <c r="T757" s="16" t="s">
        <v>6985</v>
      </c>
      <c r="U757" s="16" t="s">
        <v>17</v>
      </c>
      <c r="V757" s="16" t="s">
        <v>6949</v>
      </c>
      <c r="W757" s="16" t="s">
        <v>17</v>
      </c>
      <c r="X757" s="16" t="s">
        <v>6984</v>
      </c>
      <c r="Y757" s="16" t="s">
        <v>17</v>
      </c>
      <c r="Z757" s="16" t="s">
        <v>6926</v>
      </c>
    </row>
    <row r="758" spans="1:26" x14ac:dyDescent="0.3">
      <c r="A758" s="16">
        <v>757</v>
      </c>
      <c r="B758" s="16" t="s">
        <v>7089</v>
      </c>
      <c r="C758" s="17">
        <v>9780071611572</v>
      </c>
      <c r="D758" s="17">
        <v>9780071611572</v>
      </c>
      <c r="E758" s="16" t="s">
        <v>7090</v>
      </c>
      <c r="F758" s="16" t="s">
        <v>17</v>
      </c>
      <c r="G758" s="16" t="s">
        <v>17</v>
      </c>
      <c r="H758" s="16" t="s">
        <v>17</v>
      </c>
      <c r="I758" s="16" t="s">
        <v>17</v>
      </c>
      <c r="J758" s="16" t="s">
        <v>17</v>
      </c>
      <c r="K758" s="16" t="s">
        <v>152</v>
      </c>
      <c r="L758" s="16" t="s">
        <v>151</v>
      </c>
      <c r="M758" s="16" t="s">
        <v>7089</v>
      </c>
      <c r="N758" s="16" t="s">
        <v>17</v>
      </c>
      <c r="O758" s="16" t="s">
        <v>6921</v>
      </c>
      <c r="P758" s="16" t="s">
        <v>17</v>
      </c>
      <c r="Q758" s="16" t="s">
        <v>6922</v>
      </c>
      <c r="R758" s="16" t="s">
        <v>6923</v>
      </c>
      <c r="S758" s="16" t="s">
        <v>17</v>
      </c>
      <c r="T758" s="16" t="s">
        <v>7090</v>
      </c>
      <c r="U758" s="16" t="s">
        <v>17</v>
      </c>
      <c r="V758" s="16" t="s">
        <v>7024</v>
      </c>
      <c r="W758" s="16" t="s">
        <v>17</v>
      </c>
      <c r="X758" s="16" t="s">
        <v>7089</v>
      </c>
      <c r="Y758" s="16" t="s">
        <v>17</v>
      </c>
      <c r="Z758" s="16" t="s">
        <v>6926</v>
      </c>
    </row>
    <row r="759" spans="1:26" x14ac:dyDescent="0.3">
      <c r="A759" s="16">
        <v>758</v>
      </c>
      <c r="B759" s="16" t="s">
        <v>7713</v>
      </c>
      <c r="C759" s="17">
        <v>9780071472272</v>
      </c>
      <c r="D759" s="17">
        <v>9780071472272</v>
      </c>
      <c r="E759" s="16" t="s">
        <v>7090</v>
      </c>
      <c r="F759" s="16" t="s">
        <v>17</v>
      </c>
      <c r="G759" s="16" t="s">
        <v>17</v>
      </c>
      <c r="H759" s="16" t="s">
        <v>17</v>
      </c>
      <c r="I759" s="16" t="s">
        <v>17</v>
      </c>
      <c r="J759" s="16" t="s">
        <v>17</v>
      </c>
      <c r="K759" s="16" t="s">
        <v>699</v>
      </c>
      <c r="L759" s="16" t="s">
        <v>7714</v>
      </c>
      <c r="M759" s="16" t="s">
        <v>7713</v>
      </c>
      <c r="N759" s="16" t="s">
        <v>17</v>
      </c>
      <c r="O759" s="16" t="s">
        <v>6921</v>
      </c>
      <c r="P759" s="16" t="s">
        <v>17</v>
      </c>
      <c r="Q759" s="16" t="s">
        <v>6922</v>
      </c>
      <c r="R759" s="16" t="s">
        <v>6923</v>
      </c>
      <c r="S759" s="16" t="s">
        <v>17</v>
      </c>
      <c r="T759" s="16" t="s">
        <v>7090</v>
      </c>
      <c r="U759" s="16" t="s">
        <v>17</v>
      </c>
      <c r="V759" s="16" t="s">
        <v>6949</v>
      </c>
      <c r="W759" s="16" t="s">
        <v>17</v>
      </c>
      <c r="X759" s="16" t="s">
        <v>7713</v>
      </c>
      <c r="Y759" s="16" t="s">
        <v>17</v>
      </c>
      <c r="Z759" s="16" t="s">
        <v>6926</v>
      </c>
    </row>
    <row r="760" spans="1:26" x14ac:dyDescent="0.3">
      <c r="A760" s="16">
        <v>759</v>
      </c>
      <c r="B760" s="16" t="s">
        <v>8342</v>
      </c>
      <c r="C760" s="17">
        <v>9780071611626</v>
      </c>
      <c r="D760" s="17">
        <v>9780071611626</v>
      </c>
      <c r="E760" s="16" t="s">
        <v>6920</v>
      </c>
      <c r="F760" s="16" t="s">
        <v>17</v>
      </c>
      <c r="G760" s="16" t="s">
        <v>17</v>
      </c>
      <c r="H760" s="16" t="s">
        <v>17</v>
      </c>
      <c r="I760" s="16" t="s">
        <v>17</v>
      </c>
      <c r="J760" s="16" t="s">
        <v>17</v>
      </c>
      <c r="K760" s="16" t="s">
        <v>1443</v>
      </c>
      <c r="L760" s="16" t="s">
        <v>1442</v>
      </c>
      <c r="M760" s="16" t="s">
        <v>8342</v>
      </c>
      <c r="N760" s="16" t="s">
        <v>17</v>
      </c>
      <c r="O760" s="16" t="s">
        <v>6921</v>
      </c>
      <c r="P760" s="16" t="s">
        <v>17</v>
      </c>
      <c r="Q760" s="16" t="s">
        <v>6922</v>
      </c>
      <c r="R760" s="16" t="s">
        <v>6923</v>
      </c>
      <c r="S760" s="16" t="s">
        <v>17</v>
      </c>
      <c r="T760" s="16" t="s">
        <v>6920</v>
      </c>
      <c r="U760" s="16" t="s">
        <v>17</v>
      </c>
      <c r="V760" s="16" t="s">
        <v>7363</v>
      </c>
      <c r="W760" s="16" t="s">
        <v>17</v>
      </c>
      <c r="X760" s="16" t="s">
        <v>8342</v>
      </c>
      <c r="Y760" s="16" t="s">
        <v>17</v>
      </c>
      <c r="Z760" s="16" t="s">
        <v>6926</v>
      </c>
    </row>
    <row r="761" spans="1:26" x14ac:dyDescent="0.3">
      <c r="A761" s="16">
        <v>760</v>
      </c>
      <c r="B761" s="16" t="s">
        <v>8027</v>
      </c>
      <c r="C761" s="17">
        <v>9780071713603</v>
      </c>
      <c r="D761" s="17">
        <v>9780071713603</v>
      </c>
      <c r="E761" s="16" t="s">
        <v>8028</v>
      </c>
      <c r="F761" s="16" t="s">
        <v>17</v>
      </c>
      <c r="G761" s="16" t="s">
        <v>17</v>
      </c>
      <c r="H761" s="16" t="s">
        <v>17</v>
      </c>
      <c r="I761" s="16" t="s">
        <v>17</v>
      </c>
      <c r="J761" s="16" t="s">
        <v>17</v>
      </c>
      <c r="K761" s="16" t="s">
        <v>1092</v>
      </c>
      <c r="L761" s="16" t="s">
        <v>1091</v>
      </c>
      <c r="M761" s="16" t="s">
        <v>8027</v>
      </c>
      <c r="N761" s="16" t="s">
        <v>17</v>
      </c>
      <c r="O761" s="16" t="s">
        <v>6921</v>
      </c>
      <c r="P761" s="16" t="s">
        <v>17</v>
      </c>
      <c r="Q761" s="16" t="s">
        <v>6922</v>
      </c>
      <c r="R761" s="16" t="s">
        <v>6923</v>
      </c>
      <c r="S761" s="16" t="s">
        <v>17</v>
      </c>
      <c r="T761" s="16" t="s">
        <v>8028</v>
      </c>
      <c r="U761" s="16" t="s">
        <v>17</v>
      </c>
      <c r="V761" s="16" t="s">
        <v>8029</v>
      </c>
      <c r="W761" s="16" t="s">
        <v>17</v>
      </c>
      <c r="X761" s="16" t="s">
        <v>8027</v>
      </c>
      <c r="Y761" s="16" t="s">
        <v>17</v>
      </c>
      <c r="Z761" s="16" t="s">
        <v>6926</v>
      </c>
    </row>
    <row r="762" spans="1:26" x14ac:dyDescent="0.3">
      <c r="A762" s="16">
        <v>761</v>
      </c>
      <c r="B762" s="16" t="s">
        <v>8349</v>
      </c>
      <c r="C762" s="17">
        <v>9780071632379</v>
      </c>
      <c r="D762" s="17">
        <v>9780071632379</v>
      </c>
      <c r="E762" s="16" t="s">
        <v>6920</v>
      </c>
      <c r="F762" s="16" t="s">
        <v>17</v>
      </c>
      <c r="G762" s="16" t="s">
        <v>17</v>
      </c>
      <c r="H762" s="16" t="s">
        <v>17</v>
      </c>
      <c r="I762" s="16" t="s">
        <v>17</v>
      </c>
      <c r="J762" s="16" t="s">
        <v>17</v>
      </c>
      <c r="K762" s="16" t="s">
        <v>1460</v>
      </c>
      <c r="L762" s="16" t="s">
        <v>1091</v>
      </c>
      <c r="M762" s="16" t="s">
        <v>8349</v>
      </c>
      <c r="N762" s="16" t="s">
        <v>17</v>
      </c>
      <c r="O762" s="16" t="s">
        <v>6921</v>
      </c>
      <c r="P762" s="16" t="s">
        <v>17</v>
      </c>
      <c r="Q762" s="16" t="s">
        <v>6922</v>
      </c>
      <c r="R762" s="16" t="s">
        <v>6923</v>
      </c>
      <c r="S762" s="16" t="s">
        <v>17</v>
      </c>
      <c r="T762" s="16" t="s">
        <v>6920</v>
      </c>
      <c r="U762" s="16" t="s">
        <v>17</v>
      </c>
      <c r="V762" s="16" t="s">
        <v>8029</v>
      </c>
      <c r="W762" s="16" t="s">
        <v>17</v>
      </c>
      <c r="X762" s="16" t="s">
        <v>8349</v>
      </c>
      <c r="Y762" s="16" t="s">
        <v>17</v>
      </c>
      <c r="Z762" s="16" t="s">
        <v>6926</v>
      </c>
    </row>
    <row r="763" spans="1:26" x14ac:dyDescent="0.3">
      <c r="A763" s="16">
        <v>762</v>
      </c>
      <c r="B763" s="16" t="s">
        <v>7808</v>
      </c>
      <c r="C763" s="17">
        <v>9780071623261</v>
      </c>
      <c r="D763" s="17">
        <v>9780071623261</v>
      </c>
      <c r="E763" s="16" t="s">
        <v>7809</v>
      </c>
      <c r="F763" s="16" t="s">
        <v>17</v>
      </c>
      <c r="G763" s="16" t="s">
        <v>17</v>
      </c>
      <c r="H763" s="16" t="s">
        <v>17</v>
      </c>
      <c r="I763" s="16" t="s">
        <v>17</v>
      </c>
      <c r="J763" s="16" t="s">
        <v>17</v>
      </c>
      <c r="K763" s="16" t="s">
        <v>783</v>
      </c>
      <c r="L763" s="16" t="s">
        <v>7810</v>
      </c>
      <c r="M763" s="16" t="s">
        <v>7808</v>
      </c>
      <c r="N763" s="16" t="s">
        <v>17</v>
      </c>
      <c r="O763" s="16" t="s">
        <v>6921</v>
      </c>
      <c r="P763" s="16" t="s">
        <v>17</v>
      </c>
      <c r="Q763" s="16" t="s">
        <v>6922</v>
      </c>
      <c r="R763" s="16" t="s">
        <v>6923</v>
      </c>
      <c r="S763" s="16" t="s">
        <v>17</v>
      </c>
      <c r="T763" s="16" t="s">
        <v>7809</v>
      </c>
      <c r="U763" s="16" t="s">
        <v>17</v>
      </c>
      <c r="V763" s="16" t="s">
        <v>6924</v>
      </c>
      <c r="W763" s="16" t="s">
        <v>17</v>
      </c>
      <c r="X763" s="16" t="s">
        <v>7808</v>
      </c>
      <c r="Y763" s="16" t="s">
        <v>17</v>
      </c>
      <c r="Z763" s="16" t="s">
        <v>6926</v>
      </c>
    </row>
    <row r="764" spans="1:26" x14ac:dyDescent="0.3">
      <c r="A764" s="16">
        <v>763</v>
      </c>
      <c r="B764" s="16" t="s">
        <v>7176</v>
      </c>
      <c r="C764" s="17">
        <v>9780071623582</v>
      </c>
      <c r="D764" s="17">
        <v>9780071623582</v>
      </c>
      <c r="E764" s="16" t="s">
        <v>6920</v>
      </c>
      <c r="F764" s="16" t="s">
        <v>17</v>
      </c>
      <c r="G764" s="16" t="s">
        <v>17</v>
      </c>
      <c r="H764" s="16" t="s">
        <v>17</v>
      </c>
      <c r="I764" s="16" t="s">
        <v>17</v>
      </c>
      <c r="J764" s="16" t="s">
        <v>17</v>
      </c>
      <c r="K764" s="16" t="s">
        <v>225</v>
      </c>
      <c r="L764" s="16" t="s">
        <v>224</v>
      </c>
      <c r="M764" s="16" t="s">
        <v>7176</v>
      </c>
      <c r="N764" s="16" t="s">
        <v>17</v>
      </c>
      <c r="O764" s="16" t="s">
        <v>6921</v>
      </c>
      <c r="P764" s="16" t="s">
        <v>17</v>
      </c>
      <c r="Q764" s="16" t="s">
        <v>6922</v>
      </c>
      <c r="R764" s="16" t="s">
        <v>6923</v>
      </c>
      <c r="S764" s="16" t="s">
        <v>17</v>
      </c>
      <c r="T764" s="16" t="s">
        <v>6920</v>
      </c>
      <c r="U764" s="16" t="s">
        <v>17</v>
      </c>
      <c r="V764" s="16" t="s">
        <v>6924</v>
      </c>
      <c r="W764" s="16" t="s">
        <v>17</v>
      </c>
      <c r="X764" s="16" t="s">
        <v>7176</v>
      </c>
      <c r="Y764" s="16" t="s">
        <v>17</v>
      </c>
      <c r="Z764" s="16" t="s">
        <v>6926</v>
      </c>
    </row>
    <row r="765" spans="1:26" x14ac:dyDescent="0.3">
      <c r="A765" s="16">
        <v>764</v>
      </c>
      <c r="B765" s="16" t="s">
        <v>7970</v>
      </c>
      <c r="C765" s="17">
        <v>9781260120783</v>
      </c>
      <c r="D765" s="17">
        <v>9781260120783</v>
      </c>
      <c r="E765" s="16" t="s">
        <v>7326</v>
      </c>
      <c r="F765" s="16" t="s">
        <v>17</v>
      </c>
      <c r="G765" s="16" t="s">
        <v>17</v>
      </c>
      <c r="H765" s="16" t="s">
        <v>17</v>
      </c>
      <c r="I765" s="16" t="s">
        <v>17</v>
      </c>
      <c r="J765" s="16" t="s">
        <v>17</v>
      </c>
      <c r="K765" s="16" t="s">
        <v>1004</v>
      </c>
      <c r="L765" s="16" t="s">
        <v>7971</v>
      </c>
      <c r="M765" s="16" t="s">
        <v>7970</v>
      </c>
      <c r="N765" s="16" t="s">
        <v>17</v>
      </c>
      <c r="O765" s="16" t="s">
        <v>6921</v>
      </c>
      <c r="P765" s="16" t="s">
        <v>17</v>
      </c>
      <c r="Q765" s="16" t="s">
        <v>6922</v>
      </c>
      <c r="R765" s="16" t="s">
        <v>6923</v>
      </c>
      <c r="S765" s="16" t="s">
        <v>17</v>
      </c>
      <c r="T765" s="16" t="s">
        <v>7326</v>
      </c>
      <c r="U765" s="16" t="s">
        <v>17</v>
      </c>
      <c r="V765" s="16" t="s">
        <v>6944</v>
      </c>
      <c r="W765" s="16" t="s">
        <v>17</v>
      </c>
      <c r="X765" s="16" t="s">
        <v>7970</v>
      </c>
      <c r="Y765" s="16" t="s">
        <v>17</v>
      </c>
      <c r="Z765" s="16" t="s">
        <v>6926</v>
      </c>
    </row>
    <row r="766" spans="1:26" x14ac:dyDescent="0.3">
      <c r="A766" s="16">
        <v>765</v>
      </c>
      <c r="B766" s="16" t="s">
        <v>862</v>
      </c>
      <c r="C766" s="17">
        <v>9780071811309</v>
      </c>
      <c r="D766" s="17">
        <v>9780071811309</v>
      </c>
      <c r="E766" s="16" t="s">
        <v>7865</v>
      </c>
      <c r="F766" s="16" t="s">
        <v>17</v>
      </c>
      <c r="G766" s="16" t="s">
        <v>17</v>
      </c>
      <c r="H766" s="16" t="s">
        <v>17</v>
      </c>
      <c r="I766" s="16" t="s">
        <v>17</v>
      </c>
      <c r="J766" s="16" t="s">
        <v>17</v>
      </c>
      <c r="K766" s="16" t="s">
        <v>864</v>
      </c>
      <c r="L766" s="16" t="s">
        <v>863</v>
      </c>
      <c r="M766" s="16" t="s">
        <v>862</v>
      </c>
      <c r="N766" s="16" t="s">
        <v>17</v>
      </c>
      <c r="O766" s="16" t="s">
        <v>6921</v>
      </c>
      <c r="P766" s="16" t="s">
        <v>17</v>
      </c>
      <c r="Q766" s="16" t="s">
        <v>6922</v>
      </c>
      <c r="R766" s="16" t="s">
        <v>6923</v>
      </c>
      <c r="S766" s="16" t="s">
        <v>17</v>
      </c>
      <c r="T766" s="16" t="s">
        <v>7865</v>
      </c>
      <c r="U766" s="16" t="s">
        <v>17</v>
      </c>
      <c r="V766" s="16" t="s">
        <v>7866</v>
      </c>
      <c r="W766" s="16" t="s">
        <v>17</v>
      </c>
      <c r="X766" s="16" t="s">
        <v>862</v>
      </c>
      <c r="Y766" s="16" t="s">
        <v>17</v>
      </c>
      <c r="Z766" s="16" t="s">
        <v>6926</v>
      </c>
    </row>
    <row r="767" spans="1:26" x14ac:dyDescent="0.3">
      <c r="A767" s="16">
        <v>766</v>
      </c>
      <c r="B767" s="16" t="s">
        <v>7306</v>
      </c>
      <c r="C767" s="17">
        <v>9780071795531</v>
      </c>
      <c r="D767" s="17">
        <v>9780071795531</v>
      </c>
      <c r="E767" s="16" t="s">
        <v>6989</v>
      </c>
      <c r="F767" s="16" t="s">
        <v>17</v>
      </c>
      <c r="G767" s="16" t="s">
        <v>17</v>
      </c>
      <c r="H767" s="16" t="s">
        <v>17</v>
      </c>
      <c r="I767" s="16" t="s">
        <v>17</v>
      </c>
      <c r="J767" s="16" t="s">
        <v>17</v>
      </c>
      <c r="K767" s="16" t="s">
        <v>327</v>
      </c>
      <c r="L767" s="16" t="s">
        <v>326</v>
      </c>
      <c r="M767" s="16" t="s">
        <v>7306</v>
      </c>
      <c r="N767" s="16" t="s">
        <v>17</v>
      </c>
      <c r="O767" s="16" t="s">
        <v>6921</v>
      </c>
      <c r="P767" s="16" t="s">
        <v>17</v>
      </c>
      <c r="Q767" s="16" t="s">
        <v>6922</v>
      </c>
      <c r="R767" s="16" t="s">
        <v>6923</v>
      </c>
      <c r="S767" s="16" t="s">
        <v>17</v>
      </c>
      <c r="T767" s="16" t="s">
        <v>6989</v>
      </c>
      <c r="U767" s="16" t="s">
        <v>17</v>
      </c>
      <c r="V767" s="16" t="s">
        <v>7072</v>
      </c>
      <c r="W767" s="16" t="s">
        <v>17</v>
      </c>
      <c r="X767" s="16" t="s">
        <v>7306</v>
      </c>
      <c r="Y767" s="16" t="s">
        <v>17</v>
      </c>
      <c r="Z767" s="16" t="s">
        <v>6926</v>
      </c>
    </row>
    <row r="768" spans="1:26" x14ac:dyDescent="0.3">
      <c r="A768" s="16">
        <v>767</v>
      </c>
      <c r="B768" s="16" t="s">
        <v>7306</v>
      </c>
      <c r="C768" s="17">
        <v>9781264258338</v>
      </c>
      <c r="D768" s="17">
        <v>9781264258338</v>
      </c>
      <c r="E768" s="16" t="s">
        <v>7695</v>
      </c>
      <c r="F768" s="16" t="s">
        <v>17</v>
      </c>
      <c r="G768" s="16" t="s">
        <v>17</v>
      </c>
      <c r="H768" s="16" t="s">
        <v>17</v>
      </c>
      <c r="I768" s="16" t="s">
        <v>17</v>
      </c>
      <c r="J768" s="16" t="s">
        <v>17</v>
      </c>
      <c r="K768" s="16" t="s">
        <v>686</v>
      </c>
      <c r="L768" s="16" t="s">
        <v>685</v>
      </c>
      <c r="M768" s="16" t="s">
        <v>7306</v>
      </c>
      <c r="N768" s="16" t="s">
        <v>17</v>
      </c>
      <c r="O768" s="16" t="s">
        <v>6921</v>
      </c>
      <c r="P768" s="16" t="s">
        <v>17</v>
      </c>
      <c r="Q768" s="16" t="s">
        <v>6922</v>
      </c>
      <c r="R768" s="16" t="s">
        <v>6923</v>
      </c>
      <c r="S768" s="16" t="s">
        <v>17</v>
      </c>
      <c r="T768" s="16" t="s">
        <v>7695</v>
      </c>
      <c r="U768" s="16" t="s">
        <v>17</v>
      </c>
      <c r="V768" s="16" t="s">
        <v>7145</v>
      </c>
      <c r="W768" s="16" t="s">
        <v>17</v>
      </c>
      <c r="X768" s="16" t="s">
        <v>7306</v>
      </c>
      <c r="Y768" s="16" t="s">
        <v>17</v>
      </c>
      <c r="Z768" s="16" t="s">
        <v>6926</v>
      </c>
    </row>
    <row r="769" spans="1:26" x14ac:dyDescent="0.3">
      <c r="A769" s="16">
        <v>768</v>
      </c>
      <c r="B769" s="16" t="s">
        <v>7412</v>
      </c>
      <c r="C769" s="17">
        <v>9781260120769</v>
      </c>
      <c r="D769" s="17">
        <v>9781260120769</v>
      </c>
      <c r="E769" s="16" t="s">
        <v>7413</v>
      </c>
      <c r="F769" s="16" t="s">
        <v>17</v>
      </c>
      <c r="G769" s="16" t="s">
        <v>17</v>
      </c>
      <c r="H769" s="16" t="s">
        <v>17</v>
      </c>
      <c r="I769" s="16" t="s">
        <v>17</v>
      </c>
      <c r="J769" s="16" t="s">
        <v>17</v>
      </c>
      <c r="K769" s="16" t="s">
        <v>424</v>
      </c>
      <c r="L769" s="16" t="s">
        <v>7414</v>
      </c>
      <c r="M769" s="16" t="s">
        <v>7412</v>
      </c>
      <c r="N769" s="16" t="s">
        <v>17</v>
      </c>
      <c r="O769" s="16" t="s">
        <v>6921</v>
      </c>
      <c r="P769" s="16" t="s">
        <v>17</v>
      </c>
      <c r="Q769" s="16" t="s">
        <v>6922</v>
      </c>
      <c r="R769" s="16" t="s">
        <v>6923</v>
      </c>
      <c r="S769" s="16" t="s">
        <v>17</v>
      </c>
      <c r="T769" s="16" t="s">
        <v>7413</v>
      </c>
      <c r="U769" s="16" t="s">
        <v>17</v>
      </c>
      <c r="V769" s="16" t="s">
        <v>6944</v>
      </c>
      <c r="W769" s="16" t="s">
        <v>17</v>
      </c>
      <c r="X769" s="16" t="s">
        <v>7412</v>
      </c>
      <c r="Y769" s="16" t="s">
        <v>17</v>
      </c>
      <c r="Z769" s="16" t="s">
        <v>6926</v>
      </c>
    </row>
    <row r="770" spans="1:26" x14ac:dyDescent="0.3">
      <c r="A770" s="16">
        <v>769</v>
      </c>
      <c r="B770" s="16" t="s">
        <v>1110</v>
      </c>
      <c r="C770" s="17">
        <v>9780071821810</v>
      </c>
      <c r="D770" s="17">
        <v>9780071821810</v>
      </c>
      <c r="E770" s="16" t="s">
        <v>7185</v>
      </c>
      <c r="F770" s="16" t="s">
        <v>17</v>
      </c>
      <c r="G770" s="16" t="s">
        <v>17</v>
      </c>
      <c r="H770" s="16" t="s">
        <v>17</v>
      </c>
      <c r="I770" s="16" t="s">
        <v>17</v>
      </c>
      <c r="J770" s="16" t="s">
        <v>17</v>
      </c>
      <c r="K770" s="16" t="s">
        <v>1112</v>
      </c>
      <c r="L770" s="16" t="s">
        <v>1111</v>
      </c>
      <c r="M770" s="16" t="s">
        <v>1110</v>
      </c>
      <c r="N770" s="16" t="s">
        <v>17</v>
      </c>
      <c r="O770" s="16" t="s">
        <v>6921</v>
      </c>
      <c r="P770" s="16" t="s">
        <v>17</v>
      </c>
      <c r="Q770" s="16" t="s">
        <v>6922</v>
      </c>
      <c r="R770" s="16" t="s">
        <v>6923</v>
      </c>
      <c r="S770" s="16" t="s">
        <v>17</v>
      </c>
      <c r="T770" s="16" t="s">
        <v>7185</v>
      </c>
      <c r="U770" s="16" t="s">
        <v>17</v>
      </c>
      <c r="V770" s="16" t="s">
        <v>7866</v>
      </c>
      <c r="W770" s="16" t="s">
        <v>17</v>
      </c>
      <c r="X770" s="16" t="s">
        <v>1110</v>
      </c>
      <c r="Y770" s="16" t="s">
        <v>17</v>
      </c>
      <c r="Z770" s="16" t="s">
        <v>6926</v>
      </c>
    </row>
    <row r="771" spans="1:26" x14ac:dyDescent="0.3">
      <c r="A771" s="16">
        <v>770</v>
      </c>
      <c r="B771" s="16" t="s">
        <v>8319</v>
      </c>
      <c r="C771" s="17">
        <v>9780071810821</v>
      </c>
      <c r="D771" s="17">
        <v>9780071810821</v>
      </c>
      <c r="E771" s="16" t="s">
        <v>7823</v>
      </c>
      <c r="F771" s="16" t="s">
        <v>17</v>
      </c>
      <c r="G771" s="16" t="s">
        <v>17</v>
      </c>
      <c r="H771" s="16" t="s">
        <v>17</v>
      </c>
      <c r="I771" s="16" t="s">
        <v>17</v>
      </c>
      <c r="J771" s="16" t="s">
        <v>17</v>
      </c>
      <c r="K771" s="16" t="s">
        <v>1374</v>
      </c>
      <c r="L771" s="16" t="s">
        <v>8320</v>
      </c>
      <c r="M771" s="16" t="s">
        <v>8319</v>
      </c>
      <c r="N771" s="16" t="s">
        <v>17</v>
      </c>
      <c r="O771" s="16" t="s">
        <v>6921</v>
      </c>
      <c r="P771" s="16" t="s">
        <v>17</v>
      </c>
      <c r="Q771" s="16" t="s">
        <v>6922</v>
      </c>
      <c r="R771" s="16" t="s">
        <v>6923</v>
      </c>
      <c r="S771" s="16" t="s">
        <v>17</v>
      </c>
      <c r="T771" s="16" t="s">
        <v>7823</v>
      </c>
      <c r="U771" s="16" t="s">
        <v>17</v>
      </c>
      <c r="V771" s="16" t="s">
        <v>7173</v>
      </c>
      <c r="W771" s="16" t="s">
        <v>17</v>
      </c>
      <c r="X771" s="16" t="s">
        <v>8319</v>
      </c>
      <c r="Y771" s="16" t="s">
        <v>17</v>
      </c>
      <c r="Z771" s="16" t="s">
        <v>6926</v>
      </c>
    </row>
    <row r="772" spans="1:26" x14ac:dyDescent="0.3">
      <c r="A772" s="16">
        <v>771</v>
      </c>
      <c r="B772" s="16" t="s">
        <v>7556</v>
      </c>
      <c r="C772" s="17">
        <v>9781264258826</v>
      </c>
      <c r="D772" s="17">
        <v>9781264258826</v>
      </c>
      <c r="E772" s="16" t="s">
        <v>7506</v>
      </c>
      <c r="F772" s="16" t="s">
        <v>17</v>
      </c>
      <c r="G772" s="16" t="s">
        <v>17</v>
      </c>
      <c r="H772" s="16" t="s">
        <v>17</v>
      </c>
      <c r="I772" s="16" t="s">
        <v>17</v>
      </c>
      <c r="J772" s="16" t="s">
        <v>17</v>
      </c>
      <c r="K772" s="16" t="s">
        <v>548</v>
      </c>
      <c r="L772" s="16" t="s">
        <v>547</v>
      </c>
      <c r="M772" s="16" t="s">
        <v>7556</v>
      </c>
      <c r="N772" s="16" t="s">
        <v>17</v>
      </c>
      <c r="O772" s="16" t="s">
        <v>6921</v>
      </c>
      <c r="P772" s="16" t="s">
        <v>17</v>
      </c>
      <c r="Q772" s="16" t="s">
        <v>6922</v>
      </c>
      <c r="R772" s="16" t="s">
        <v>6923</v>
      </c>
      <c r="S772" s="16" t="s">
        <v>17</v>
      </c>
      <c r="T772" s="16" t="s">
        <v>7506</v>
      </c>
      <c r="U772" s="16" t="s">
        <v>17</v>
      </c>
      <c r="V772" s="16" t="s">
        <v>6944</v>
      </c>
      <c r="W772" s="16" t="s">
        <v>17</v>
      </c>
      <c r="X772" s="16" t="s">
        <v>7556</v>
      </c>
      <c r="Y772" s="16" t="s">
        <v>17</v>
      </c>
      <c r="Z772" s="16" t="s">
        <v>6926</v>
      </c>
    </row>
    <row r="773" spans="1:26" x14ac:dyDescent="0.3">
      <c r="A773" s="16">
        <v>772</v>
      </c>
      <c r="B773" s="16" t="s">
        <v>7556</v>
      </c>
      <c r="C773" s="17">
        <v>9780071824859</v>
      </c>
      <c r="D773" s="17">
        <v>9780071824859</v>
      </c>
      <c r="E773" s="16" t="s">
        <v>7199</v>
      </c>
      <c r="F773" s="16" t="s">
        <v>17</v>
      </c>
      <c r="G773" s="16" t="s">
        <v>17</v>
      </c>
      <c r="H773" s="16" t="s">
        <v>17</v>
      </c>
      <c r="I773" s="16" t="s">
        <v>17</v>
      </c>
      <c r="J773" s="16" t="s">
        <v>17</v>
      </c>
      <c r="K773" s="16" t="s">
        <v>1490</v>
      </c>
      <c r="L773" s="16" t="s">
        <v>547</v>
      </c>
      <c r="M773" s="16" t="s">
        <v>7556</v>
      </c>
      <c r="N773" s="16" t="s">
        <v>17</v>
      </c>
      <c r="O773" s="16" t="s">
        <v>6921</v>
      </c>
      <c r="P773" s="16" t="s">
        <v>17</v>
      </c>
      <c r="Q773" s="16" t="s">
        <v>6922</v>
      </c>
      <c r="R773" s="16" t="s">
        <v>6923</v>
      </c>
      <c r="S773" s="16" t="s">
        <v>17</v>
      </c>
      <c r="T773" s="16" t="s">
        <v>7199</v>
      </c>
      <c r="U773" s="16" t="s">
        <v>17</v>
      </c>
      <c r="V773" s="16" t="s">
        <v>7024</v>
      </c>
      <c r="W773" s="16" t="s">
        <v>17</v>
      </c>
      <c r="X773" s="16" t="s">
        <v>7556</v>
      </c>
      <c r="Y773" s="16" t="s">
        <v>17</v>
      </c>
      <c r="Z773" s="16" t="s">
        <v>6926</v>
      </c>
    </row>
    <row r="774" spans="1:26" x14ac:dyDescent="0.3">
      <c r="A774" s="16">
        <v>773</v>
      </c>
      <c r="B774" s="16" t="s">
        <v>7415</v>
      </c>
      <c r="C774" s="17">
        <v>9781264258802</v>
      </c>
      <c r="D774" s="17">
        <v>9781264258802</v>
      </c>
      <c r="E774" s="16" t="s">
        <v>7416</v>
      </c>
      <c r="F774" s="16" t="s">
        <v>17</v>
      </c>
      <c r="G774" s="16" t="s">
        <v>17</v>
      </c>
      <c r="H774" s="16" t="s">
        <v>17</v>
      </c>
      <c r="I774" s="16" t="s">
        <v>17</v>
      </c>
      <c r="J774" s="16" t="s">
        <v>17</v>
      </c>
      <c r="K774" s="16" t="s">
        <v>428</v>
      </c>
      <c r="L774" s="16" t="s">
        <v>426</v>
      </c>
      <c r="M774" s="16" t="s">
        <v>7415</v>
      </c>
      <c r="N774" s="16" t="s">
        <v>17</v>
      </c>
      <c r="O774" s="16" t="s">
        <v>6921</v>
      </c>
      <c r="P774" s="16" t="s">
        <v>17</v>
      </c>
      <c r="Q774" s="16" t="s">
        <v>6922</v>
      </c>
      <c r="R774" s="16" t="s">
        <v>6923</v>
      </c>
      <c r="S774" s="16" t="s">
        <v>17</v>
      </c>
      <c r="T774" s="16" t="s">
        <v>7416</v>
      </c>
      <c r="U774" s="16" t="s">
        <v>17</v>
      </c>
      <c r="V774" s="16" t="s">
        <v>7024</v>
      </c>
      <c r="W774" s="16" t="s">
        <v>17</v>
      </c>
      <c r="X774" s="16" t="s">
        <v>7415</v>
      </c>
      <c r="Y774" s="16" t="s">
        <v>17</v>
      </c>
      <c r="Z774" s="16" t="s">
        <v>6926</v>
      </c>
    </row>
    <row r="775" spans="1:26" x14ac:dyDescent="0.3">
      <c r="A775" s="16">
        <v>774</v>
      </c>
      <c r="B775" s="16" t="s">
        <v>7828</v>
      </c>
      <c r="C775" s="17">
        <v>9781260011968</v>
      </c>
      <c r="D775" s="17">
        <v>9781260011968</v>
      </c>
      <c r="E775" s="16" t="s">
        <v>7405</v>
      </c>
      <c r="F775" s="16" t="s">
        <v>17</v>
      </c>
      <c r="G775" s="16" t="s">
        <v>17</v>
      </c>
      <c r="H775" s="16" t="s">
        <v>17</v>
      </c>
      <c r="I775" s="16" t="s">
        <v>17</v>
      </c>
      <c r="J775" s="16" t="s">
        <v>17</v>
      </c>
      <c r="K775" s="16" t="s">
        <v>808</v>
      </c>
      <c r="L775" s="16" t="s">
        <v>430</v>
      </c>
      <c r="M775" s="16" t="s">
        <v>7828</v>
      </c>
      <c r="N775" s="16" t="s">
        <v>17</v>
      </c>
      <c r="O775" s="16" t="s">
        <v>6921</v>
      </c>
      <c r="P775" s="16" t="s">
        <v>17</v>
      </c>
      <c r="Q775" s="16" t="s">
        <v>6922</v>
      </c>
      <c r="R775" s="16" t="s">
        <v>6923</v>
      </c>
      <c r="S775" s="16" t="s">
        <v>17</v>
      </c>
      <c r="T775" s="16" t="s">
        <v>7405</v>
      </c>
      <c r="U775" s="16" t="s">
        <v>17</v>
      </c>
      <c r="V775" s="16" t="s">
        <v>7145</v>
      </c>
      <c r="W775" s="16" t="s">
        <v>17</v>
      </c>
      <c r="X775" s="16" t="s">
        <v>7828</v>
      </c>
      <c r="Y775" s="16" t="s">
        <v>17</v>
      </c>
      <c r="Z775" s="16" t="s">
        <v>6926</v>
      </c>
    </row>
    <row r="776" spans="1:26" x14ac:dyDescent="0.3">
      <c r="A776" s="16">
        <v>775</v>
      </c>
      <c r="B776" s="16" t="s">
        <v>956</v>
      </c>
      <c r="C776" s="17">
        <v>9780071830454</v>
      </c>
      <c r="D776" s="17">
        <v>9780071830454</v>
      </c>
      <c r="E776" s="16" t="s">
        <v>7263</v>
      </c>
      <c r="F776" s="16" t="s">
        <v>17</v>
      </c>
      <c r="G776" s="16" t="s">
        <v>17</v>
      </c>
      <c r="H776" s="16" t="s">
        <v>17</v>
      </c>
      <c r="I776" s="16" t="s">
        <v>17</v>
      </c>
      <c r="J776" s="16" t="s">
        <v>17</v>
      </c>
      <c r="K776" s="16" t="s">
        <v>958</v>
      </c>
      <c r="L776" s="16" t="s">
        <v>957</v>
      </c>
      <c r="M776" s="16" t="s">
        <v>956</v>
      </c>
      <c r="N776" s="16" t="s">
        <v>17</v>
      </c>
      <c r="O776" s="16" t="s">
        <v>6921</v>
      </c>
      <c r="P776" s="16" t="s">
        <v>17</v>
      </c>
      <c r="Q776" s="16" t="s">
        <v>6922</v>
      </c>
      <c r="R776" s="16" t="s">
        <v>6923</v>
      </c>
      <c r="S776" s="16" t="s">
        <v>17</v>
      </c>
      <c r="T776" s="16" t="s">
        <v>7263</v>
      </c>
      <c r="U776" s="16" t="s">
        <v>17</v>
      </c>
      <c r="V776" s="16" t="s">
        <v>7276</v>
      </c>
      <c r="W776" s="16" t="s">
        <v>17</v>
      </c>
      <c r="X776" s="16" t="s">
        <v>956</v>
      </c>
      <c r="Y776" s="16" t="s">
        <v>17</v>
      </c>
      <c r="Z776" s="16" t="s">
        <v>6926</v>
      </c>
    </row>
    <row r="777" spans="1:26" x14ac:dyDescent="0.3">
      <c r="A777" s="16">
        <v>776</v>
      </c>
      <c r="B777" s="16" t="s">
        <v>7420</v>
      </c>
      <c r="C777" s="17">
        <v>9781260120974</v>
      </c>
      <c r="D777" s="17">
        <v>9781260120974</v>
      </c>
      <c r="E777" s="16" t="s">
        <v>7421</v>
      </c>
      <c r="F777" s="16" t="s">
        <v>17</v>
      </c>
      <c r="G777" s="16" t="s">
        <v>17</v>
      </c>
      <c r="H777" s="16" t="s">
        <v>17</v>
      </c>
      <c r="I777" s="16" t="s">
        <v>17</v>
      </c>
      <c r="J777" s="16" t="s">
        <v>17</v>
      </c>
      <c r="K777" s="16" t="s">
        <v>431</v>
      </c>
      <c r="L777" s="16" t="s">
        <v>430</v>
      </c>
      <c r="M777" s="16" t="s">
        <v>7420</v>
      </c>
      <c r="N777" s="16" t="s">
        <v>17</v>
      </c>
      <c r="O777" s="16" t="s">
        <v>6921</v>
      </c>
      <c r="P777" s="16" t="s">
        <v>17</v>
      </c>
      <c r="Q777" s="16" t="s">
        <v>6922</v>
      </c>
      <c r="R777" s="16" t="s">
        <v>6923</v>
      </c>
      <c r="S777" s="16" t="s">
        <v>17</v>
      </c>
      <c r="T777" s="16" t="s">
        <v>7421</v>
      </c>
      <c r="U777" s="16" t="s">
        <v>17</v>
      </c>
      <c r="V777" s="16" t="s">
        <v>6944</v>
      </c>
      <c r="W777" s="16" t="s">
        <v>17</v>
      </c>
      <c r="X777" s="16" t="s">
        <v>7420</v>
      </c>
      <c r="Y777" s="16" t="s">
        <v>17</v>
      </c>
      <c r="Z777" s="16" t="s">
        <v>6926</v>
      </c>
    </row>
    <row r="778" spans="1:26" x14ac:dyDescent="0.3">
      <c r="A778" s="16">
        <v>777</v>
      </c>
      <c r="B778" s="16" t="s">
        <v>1113</v>
      </c>
      <c r="C778" s="17">
        <v>9780071831475</v>
      </c>
      <c r="D778" s="17">
        <v>9780071831475</v>
      </c>
      <c r="E778" s="16" t="s">
        <v>7054</v>
      </c>
      <c r="F778" s="16" t="s">
        <v>17</v>
      </c>
      <c r="G778" s="16" t="s">
        <v>17</v>
      </c>
      <c r="H778" s="16" t="s">
        <v>17</v>
      </c>
      <c r="I778" s="16" t="s">
        <v>17</v>
      </c>
      <c r="J778" s="16" t="s">
        <v>17</v>
      </c>
      <c r="K778" s="16" t="s">
        <v>1115</v>
      </c>
      <c r="L778" s="16" t="s">
        <v>1114</v>
      </c>
      <c r="M778" s="16" t="s">
        <v>1113</v>
      </c>
      <c r="N778" s="16" t="s">
        <v>17</v>
      </c>
      <c r="O778" s="16" t="s">
        <v>6921</v>
      </c>
      <c r="P778" s="16" t="s">
        <v>17</v>
      </c>
      <c r="Q778" s="16" t="s">
        <v>6922</v>
      </c>
      <c r="R778" s="16" t="s">
        <v>6923</v>
      </c>
      <c r="S778" s="16" t="s">
        <v>17</v>
      </c>
      <c r="T778" s="16" t="s">
        <v>7054</v>
      </c>
      <c r="U778" s="16" t="s">
        <v>17</v>
      </c>
      <c r="V778" s="16" t="s">
        <v>7866</v>
      </c>
      <c r="W778" s="16" t="s">
        <v>17</v>
      </c>
      <c r="X778" s="16" t="s">
        <v>1113</v>
      </c>
      <c r="Y778" s="16" t="s">
        <v>17</v>
      </c>
      <c r="Z778" s="16" t="s">
        <v>6926</v>
      </c>
    </row>
    <row r="779" spans="1:26" x14ac:dyDescent="0.3">
      <c r="A779" s="16">
        <v>778</v>
      </c>
      <c r="B779" s="16" t="s">
        <v>7502</v>
      </c>
      <c r="C779" s="17">
        <v>9781260462869</v>
      </c>
      <c r="D779" s="17">
        <v>9781260462869</v>
      </c>
      <c r="E779" s="16" t="s">
        <v>7503</v>
      </c>
      <c r="F779" s="16" t="s">
        <v>17</v>
      </c>
      <c r="G779" s="16" t="s">
        <v>17</v>
      </c>
      <c r="H779" s="16" t="s">
        <v>17</v>
      </c>
      <c r="I779" s="16" t="s">
        <v>17</v>
      </c>
      <c r="J779" s="16" t="s">
        <v>17</v>
      </c>
      <c r="K779" s="16" t="s">
        <v>513</v>
      </c>
      <c r="L779" s="16" t="s">
        <v>7504</v>
      </c>
      <c r="M779" s="16" t="s">
        <v>7502</v>
      </c>
      <c r="N779" s="16" t="s">
        <v>17</v>
      </c>
      <c r="O779" s="16" t="s">
        <v>6921</v>
      </c>
      <c r="P779" s="16" t="s">
        <v>17</v>
      </c>
      <c r="Q779" s="16" t="s">
        <v>6922</v>
      </c>
      <c r="R779" s="16" t="s">
        <v>6923</v>
      </c>
      <c r="S779" s="16" t="s">
        <v>17</v>
      </c>
      <c r="T779" s="16" t="s">
        <v>7503</v>
      </c>
      <c r="U779" s="16" t="s">
        <v>17</v>
      </c>
      <c r="V779" s="16" t="s">
        <v>7145</v>
      </c>
      <c r="W779" s="16" t="s">
        <v>17</v>
      </c>
      <c r="X779" s="16" t="s">
        <v>7502</v>
      </c>
      <c r="Y779" s="16" t="s">
        <v>17</v>
      </c>
      <c r="Z779" s="16" t="s">
        <v>6926</v>
      </c>
    </row>
    <row r="780" spans="1:26" x14ac:dyDescent="0.3">
      <c r="A780" s="16">
        <v>779</v>
      </c>
      <c r="B780" s="16" t="s">
        <v>7788</v>
      </c>
      <c r="C780" s="17">
        <v>9781260462883</v>
      </c>
      <c r="D780" s="17">
        <v>9781260462883</v>
      </c>
      <c r="E780" s="16" t="s">
        <v>7469</v>
      </c>
      <c r="F780" s="16" t="s">
        <v>17</v>
      </c>
      <c r="G780" s="16" t="s">
        <v>17</v>
      </c>
      <c r="H780" s="16" t="s">
        <v>17</v>
      </c>
      <c r="I780" s="16" t="s">
        <v>17</v>
      </c>
      <c r="J780" s="16" t="s">
        <v>17</v>
      </c>
      <c r="K780" s="16" t="s">
        <v>764</v>
      </c>
      <c r="L780" s="16" t="s">
        <v>7504</v>
      </c>
      <c r="M780" s="16" t="s">
        <v>7788</v>
      </c>
      <c r="N780" s="16" t="s">
        <v>17</v>
      </c>
      <c r="O780" s="16" t="s">
        <v>6921</v>
      </c>
      <c r="P780" s="16" t="s">
        <v>17</v>
      </c>
      <c r="Q780" s="16" t="s">
        <v>6922</v>
      </c>
      <c r="R780" s="16" t="s">
        <v>6923</v>
      </c>
      <c r="S780" s="16" t="s">
        <v>17</v>
      </c>
      <c r="T780" s="16" t="s">
        <v>7469</v>
      </c>
      <c r="U780" s="16" t="s">
        <v>17</v>
      </c>
      <c r="V780" s="16" t="s">
        <v>7145</v>
      </c>
      <c r="W780" s="16" t="s">
        <v>17</v>
      </c>
      <c r="X780" s="16" t="s">
        <v>7788</v>
      </c>
      <c r="Y780" s="16" t="s">
        <v>17</v>
      </c>
      <c r="Z780" s="16" t="s">
        <v>6926</v>
      </c>
    </row>
    <row r="781" spans="1:26" x14ac:dyDescent="0.3">
      <c r="A781" s="16">
        <v>780</v>
      </c>
      <c r="B781" s="16" t="s">
        <v>7085</v>
      </c>
      <c r="C781" s="17">
        <v>9780071829489</v>
      </c>
      <c r="D781" s="17">
        <v>9780071829489</v>
      </c>
      <c r="E781" s="16" t="s">
        <v>7086</v>
      </c>
      <c r="F781" s="16" t="s">
        <v>17</v>
      </c>
      <c r="G781" s="16" t="s">
        <v>17</v>
      </c>
      <c r="H781" s="16" t="s">
        <v>17</v>
      </c>
      <c r="I781" s="16" t="s">
        <v>17</v>
      </c>
      <c r="J781" s="16" t="s">
        <v>17</v>
      </c>
      <c r="K781" s="16" t="s">
        <v>148</v>
      </c>
      <c r="L781" s="16" t="s">
        <v>7087</v>
      </c>
      <c r="M781" s="16" t="s">
        <v>7085</v>
      </c>
      <c r="N781" s="16" t="s">
        <v>17</v>
      </c>
      <c r="O781" s="16" t="s">
        <v>6921</v>
      </c>
      <c r="P781" s="16" t="s">
        <v>17</v>
      </c>
      <c r="Q781" s="16" t="s">
        <v>6922</v>
      </c>
      <c r="R781" s="16" t="s">
        <v>6923</v>
      </c>
      <c r="S781" s="16" t="s">
        <v>17</v>
      </c>
      <c r="T781" s="16" t="s">
        <v>7086</v>
      </c>
      <c r="U781" s="16" t="s">
        <v>17</v>
      </c>
      <c r="V781" s="16" t="s">
        <v>6924</v>
      </c>
      <c r="W781" s="16" t="s">
        <v>17</v>
      </c>
      <c r="X781" s="16" t="s">
        <v>7085</v>
      </c>
      <c r="Y781" s="16" t="s">
        <v>17</v>
      </c>
      <c r="Z781" s="16" t="s">
        <v>6926</v>
      </c>
    </row>
    <row r="782" spans="1:26" x14ac:dyDescent="0.3">
      <c r="A782" s="16">
        <v>781</v>
      </c>
      <c r="B782" s="16" t="s">
        <v>1554</v>
      </c>
      <c r="C782" s="17">
        <v>9781260462845</v>
      </c>
      <c r="D782" s="17">
        <v>9781260462845</v>
      </c>
      <c r="E782" s="16" t="s">
        <v>7694</v>
      </c>
      <c r="F782" s="16" t="s">
        <v>17</v>
      </c>
      <c r="G782" s="16" t="s">
        <v>17</v>
      </c>
      <c r="H782" s="16" t="s">
        <v>17</v>
      </c>
      <c r="I782" s="16" t="s">
        <v>17</v>
      </c>
      <c r="J782" s="16" t="s">
        <v>17</v>
      </c>
      <c r="K782" s="16" t="s">
        <v>684</v>
      </c>
      <c r="L782" s="16" t="s">
        <v>7504</v>
      </c>
      <c r="M782" s="16" t="s">
        <v>1554</v>
      </c>
      <c r="N782" s="16" t="s">
        <v>17</v>
      </c>
      <c r="O782" s="16" t="s">
        <v>6921</v>
      </c>
      <c r="P782" s="16" t="s">
        <v>17</v>
      </c>
      <c r="Q782" s="16" t="s">
        <v>6922</v>
      </c>
      <c r="R782" s="16" t="s">
        <v>6923</v>
      </c>
      <c r="S782" s="16" t="s">
        <v>17</v>
      </c>
      <c r="T782" s="16" t="s">
        <v>7694</v>
      </c>
      <c r="U782" s="16" t="s">
        <v>17</v>
      </c>
      <c r="V782" s="16" t="s">
        <v>6924</v>
      </c>
      <c r="W782" s="16" t="s">
        <v>17</v>
      </c>
      <c r="X782" s="16" t="s">
        <v>1554</v>
      </c>
      <c r="Y782" s="16" t="s">
        <v>17</v>
      </c>
      <c r="Z782" s="16" t="s">
        <v>6926</v>
      </c>
    </row>
    <row r="783" spans="1:26" x14ac:dyDescent="0.3">
      <c r="A783" s="16">
        <v>782</v>
      </c>
      <c r="B783" s="16" t="s">
        <v>1554</v>
      </c>
      <c r="C783" s="17">
        <v>9780071487818</v>
      </c>
      <c r="D783" s="17">
        <v>9780071487818</v>
      </c>
      <c r="E783" s="16" t="s">
        <v>7046</v>
      </c>
      <c r="F783" s="16" t="s">
        <v>17</v>
      </c>
      <c r="G783" s="16" t="s">
        <v>17</v>
      </c>
      <c r="H783" s="16" t="s">
        <v>17</v>
      </c>
      <c r="I783" s="16" t="s">
        <v>17</v>
      </c>
      <c r="J783" s="16" t="s">
        <v>17</v>
      </c>
      <c r="K783" s="16" t="s">
        <v>1555</v>
      </c>
      <c r="L783" s="16" t="s">
        <v>512</v>
      </c>
      <c r="M783" s="16" t="s">
        <v>1554</v>
      </c>
      <c r="N783" s="16" t="s">
        <v>17</v>
      </c>
      <c r="O783" s="16" t="s">
        <v>6921</v>
      </c>
      <c r="P783" s="16" t="s">
        <v>17</v>
      </c>
      <c r="Q783" s="16" t="s">
        <v>6922</v>
      </c>
      <c r="R783" s="16" t="s">
        <v>6923</v>
      </c>
      <c r="S783" s="16" t="s">
        <v>17</v>
      </c>
      <c r="T783" s="16" t="s">
        <v>7046</v>
      </c>
      <c r="U783" s="16" t="s">
        <v>17</v>
      </c>
      <c r="V783" s="16" t="s">
        <v>17</v>
      </c>
      <c r="W783" s="16" t="s">
        <v>17</v>
      </c>
      <c r="X783" s="16" t="s">
        <v>1554</v>
      </c>
      <c r="Y783" s="16" t="s">
        <v>17</v>
      </c>
      <c r="Z783" s="16" t="s">
        <v>6926</v>
      </c>
    </row>
    <row r="784" spans="1:26" x14ac:dyDescent="0.3">
      <c r="A784" s="16">
        <v>783</v>
      </c>
      <c r="B784" s="16" t="s">
        <v>7928</v>
      </c>
      <c r="C784" s="17">
        <v>9780071831451</v>
      </c>
      <c r="D784" s="17">
        <v>9780071831451</v>
      </c>
      <c r="E784" s="16" t="s">
        <v>7263</v>
      </c>
      <c r="F784" s="16" t="s">
        <v>17</v>
      </c>
      <c r="G784" s="16" t="s">
        <v>17</v>
      </c>
      <c r="H784" s="16" t="s">
        <v>17</v>
      </c>
      <c r="I784" s="16" t="s">
        <v>17</v>
      </c>
      <c r="J784" s="16" t="s">
        <v>17</v>
      </c>
      <c r="K784" s="16" t="s">
        <v>943</v>
      </c>
      <c r="L784" s="16" t="s">
        <v>7929</v>
      </c>
      <c r="M784" s="16" t="s">
        <v>7928</v>
      </c>
      <c r="N784" s="16" t="s">
        <v>17</v>
      </c>
      <c r="O784" s="16" t="s">
        <v>6921</v>
      </c>
      <c r="P784" s="16" t="s">
        <v>17</v>
      </c>
      <c r="Q784" s="16" t="s">
        <v>6922</v>
      </c>
      <c r="R784" s="16" t="s">
        <v>6923</v>
      </c>
      <c r="S784" s="16" t="s">
        <v>17</v>
      </c>
      <c r="T784" s="16" t="s">
        <v>7263</v>
      </c>
      <c r="U784" s="16" t="s">
        <v>17</v>
      </c>
      <c r="V784" s="16" t="s">
        <v>7024</v>
      </c>
      <c r="W784" s="16" t="s">
        <v>17</v>
      </c>
      <c r="X784" s="16" t="s">
        <v>7928</v>
      </c>
      <c r="Y784" s="16" t="s">
        <v>17</v>
      </c>
      <c r="Z784" s="16" t="s">
        <v>6926</v>
      </c>
    </row>
    <row r="785" spans="1:26" x14ac:dyDescent="0.3">
      <c r="A785" s="16">
        <v>784</v>
      </c>
      <c r="B785" s="16" t="s">
        <v>8061</v>
      </c>
      <c r="C785" s="17">
        <v>9781260010572</v>
      </c>
      <c r="D785" s="17">
        <v>9781260010572</v>
      </c>
      <c r="E785" s="16" t="s">
        <v>7410</v>
      </c>
      <c r="F785" s="16" t="s">
        <v>17</v>
      </c>
      <c r="G785" s="16" t="s">
        <v>17</v>
      </c>
      <c r="H785" s="16" t="s">
        <v>17</v>
      </c>
      <c r="I785" s="16" t="s">
        <v>17</v>
      </c>
      <c r="J785" s="16" t="s">
        <v>17</v>
      </c>
      <c r="K785" s="16" t="s">
        <v>1140</v>
      </c>
      <c r="L785" s="16" t="s">
        <v>1138</v>
      </c>
      <c r="M785" s="16" t="s">
        <v>8061</v>
      </c>
      <c r="N785" s="16" t="s">
        <v>17</v>
      </c>
      <c r="O785" s="16" t="s">
        <v>6921</v>
      </c>
      <c r="P785" s="16" t="s">
        <v>17</v>
      </c>
      <c r="Q785" s="16" t="s">
        <v>6922</v>
      </c>
      <c r="R785" s="16" t="s">
        <v>6923</v>
      </c>
      <c r="S785" s="16" t="s">
        <v>17</v>
      </c>
      <c r="T785" s="16" t="s">
        <v>7410</v>
      </c>
      <c r="U785" s="16" t="s">
        <v>17</v>
      </c>
      <c r="V785" s="16" t="s">
        <v>7072</v>
      </c>
      <c r="W785" s="16" t="s">
        <v>17</v>
      </c>
      <c r="X785" s="16" t="s">
        <v>8061</v>
      </c>
      <c r="Y785" s="16" t="s">
        <v>17</v>
      </c>
      <c r="Z785" s="16" t="s">
        <v>6926</v>
      </c>
    </row>
    <row r="786" spans="1:26" x14ac:dyDescent="0.3">
      <c r="A786" s="16">
        <v>785</v>
      </c>
      <c r="B786" s="16" t="s">
        <v>1436</v>
      </c>
      <c r="C786" s="17">
        <v>9780071795401</v>
      </c>
      <c r="D786" s="17">
        <v>9780071795401</v>
      </c>
      <c r="E786" s="16" t="s">
        <v>7283</v>
      </c>
      <c r="F786" s="16" t="s">
        <v>17</v>
      </c>
      <c r="G786" s="16" t="s">
        <v>17</v>
      </c>
      <c r="H786" s="16" t="s">
        <v>17</v>
      </c>
      <c r="I786" s="16" t="s">
        <v>17</v>
      </c>
      <c r="J786" s="16" t="s">
        <v>17</v>
      </c>
      <c r="K786" s="16" t="s">
        <v>1437</v>
      </c>
      <c r="L786" s="16" t="s">
        <v>8340</v>
      </c>
      <c r="M786" s="16" t="s">
        <v>1436</v>
      </c>
      <c r="N786" s="16" t="s">
        <v>17</v>
      </c>
      <c r="O786" s="16" t="s">
        <v>6921</v>
      </c>
      <c r="P786" s="16" t="s">
        <v>17</v>
      </c>
      <c r="Q786" s="16" t="s">
        <v>6922</v>
      </c>
      <c r="R786" s="16" t="s">
        <v>6923</v>
      </c>
      <c r="S786" s="16" t="s">
        <v>17</v>
      </c>
      <c r="T786" s="16" t="s">
        <v>7283</v>
      </c>
      <c r="U786" s="16" t="s">
        <v>17</v>
      </c>
      <c r="V786" s="16" t="s">
        <v>7824</v>
      </c>
      <c r="W786" s="16" t="s">
        <v>17</v>
      </c>
      <c r="X786" s="16" t="s">
        <v>1436</v>
      </c>
      <c r="Y786" s="16" t="s">
        <v>17</v>
      </c>
      <c r="Z786" s="16" t="s">
        <v>6926</v>
      </c>
    </row>
    <row r="787" spans="1:26" x14ac:dyDescent="0.3">
      <c r="A787" s="16">
        <v>786</v>
      </c>
      <c r="B787" s="16" t="s">
        <v>8077</v>
      </c>
      <c r="C787" s="17">
        <v>9780071810791</v>
      </c>
      <c r="D787" s="17">
        <v>9780071810791</v>
      </c>
      <c r="E787" s="16" t="s">
        <v>7133</v>
      </c>
      <c r="F787" s="16" t="s">
        <v>17</v>
      </c>
      <c r="G787" s="16" t="s">
        <v>17</v>
      </c>
      <c r="H787" s="16" t="s">
        <v>17</v>
      </c>
      <c r="I787" s="16" t="s">
        <v>17</v>
      </c>
      <c r="J787" s="16" t="s">
        <v>17</v>
      </c>
      <c r="K787" s="16" t="s">
        <v>1160</v>
      </c>
      <c r="L787" s="16" t="s">
        <v>8078</v>
      </c>
      <c r="M787" s="16" t="s">
        <v>8077</v>
      </c>
      <c r="N787" s="16" t="s">
        <v>17</v>
      </c>
      <c r="O787" s="16" t="s">
        <v>6921</v>
      </c>
      <c r="P787" s="16" t="s">
        <v>17</v>
      </c>
      <c r="Q787" s="16" t="s">
        <v>6922</v>
      </c>
      <c r="R787" s="16" t="s">
        <v>6923</v>
      </c>
      <c r="S787" s="16" t="s">
        <v>17</v>
      </c>
      <c r="T787" s="16" t="s">
        <v>7133</v>
      </c>
      <c r="U787" s="16" t="s">
        <v>17</v>
      </c>
      <c r="V787" s="16" t="s">
        <v>7024</v>
      </c>
      <c r="W787" s="16" t="s">
        <v>17</v>
      </c>
      <c r="X787" s="16" t="s">
        <v>8077</v>
      </c>
      <c r="Y787" s="16" t="s">
        <v>17</v>
      </c>
      <c r="Z787" s="16" t="s">
        <v>6926</v>
      </c>
    </row>
    <row r="788" spans="1:26" x14ac:dyDescent="0.3">
      <c r="A788" s="16">
        <v>787</v>
      </c>
      <c r="B788" s="16" t="s">
        <v>1413</v>
      </c>
      <c r="C788" s="17">
        <v>9780071794565</v>
      </c>
      <c r="D788" s="17">
        <v>9780071794565</v>
      </c>
      <c r="E788" s="16" t="s">
        <v>7521</v>
      </c>
      <c r="F788" s="16" t="s">
        <v>17</v>
      </c>
      <c r="G788" s="16" t="s">
        <v>17</v>
      </c>
      <c r="H788" s="16" t="s">
        <v>17</v>
      </c>
      <c r="I788" s="16" t="s">
        <v>17</v>
      </c>
      <c r="J788" s="16" t="s">
        <v>17</v>
      </c>
      <c r="K788" s="16" t="s">
        <v>1414</v>
      </c>
      <c r="L788" s="16" t="s">
        <v>1261</v>
      </c>
      <c r="M788" s="16" t="s">
        <v>1413</v>
      </c>
      <c r="N788" s="16" t="s">
        <v>17</v>
      </c>
      <c r="O788" s="16" t="s">
        <v>6921</v>
      </c>
      <c r="P788" s="16" t="s">
        <v>17</v>
      </c>
      <c r="Q788" s="16" t="s">
        <v>6922</v>
      </c>
      <c r="R788" s="16" t="s">
        <v>6923</v>
      </c>
      <c r="S788" s="16" t="s">
        <v>17</v>
      </c>
      <c r="T788" s="16" t="s">
        <v>7521</v>
      </c>
      <c r="U788" s="16" t="s">
        <v>17</v>
      </c>
      <c r="V788" s="16" t="s">
        <v>7824</v>
      </c>
      <c r="W788" s="16" t="s">
        <v>17</v>
      </c>
      <c r="X788" s="16" t="s">
        <v>1413</v>
      </c>
      <c r="Y788" s="16" t="s">
        <v>17</v>
      </c>
      <c r="Z788" s="16" t="s">
        <v>6926</v>
      </c>
    </row>
    <row r="789" spans="1:26" x14ac:dyDescent="0.3">
      <c r="A789" s="16">
        <v>788</v>
      </c>
      <c r="B789" s="16" t="s">
        <v>402</v>
      </c>
      <c r="C789" s="17">
        <v>9781260011449</v>
      </c>
      <c r="D789" s="17">
        <v>9781260011449</v>
      </c>
      <c r="E789" s="16" t="s">
        <v>7385</v>
      </c>
      <c r="F789" s="16" t="s">
        <v>17</v>
      </c>
      <c r="G789" s="16" t="s">
        <v>17</v>
      </c>
      <c r="H789" s="16" t="s">
        <v>17</v>
      </c>
      <c r="I789" s="16" t="s">
        <v>17</v>
      </c>
      <c r="J789" s="16" t="s">
        <v>17</v>
      </c>
      <c r="K789" s="16" t="s">
        <v>405</v>
      </c>
      <c r="L789" s="16" t="s">
        <v>403</v>
      </c>
      <c r="M789" s="16" t="s">
        <v>402</v>
      </c>
      <c r="N789" s="16" t="s">
        <v>17</v>
      </c>
      <c r="O789" s="16" t="s">
        <v>6921</v>
      </c>
      <c r="P789" s="16" t="s">
        <v>17</v>
      </c>
      <c r="Q789" s="16" t="s">
        <v>6922</v>
      </c>
      <c r="R789" s="16" t="s">
        <v>6923</v>
      </c>
      <c r="S789" s="16" t="s">
        <v>17</v>
      </c>
      <c r="T789" s="16" t="s">
        <v>7385</v>
      </c>
      <c r="U789" s="16" t="s">
        <v>17</v>
      </c>
      <c r="V789" s="16" t="s">
        <v>7386</v>
      </c>
      <c r="W789" s="16" t="s">
        <v>17</v>
      </c>
      <c r="X789" s="16" t="s">
        <v>402</v>
      </c>
      <c r="Y789" s="16" t="s">
        <v>17</v>
      </c>
      <c r="Z789" s="16" t="s">
        <v>6926</v>
      </c>
    </row>
    <row r="790" spans="1:26" x14ac:dyDescent="0.3">
      <c r="A790" s="16">
        <v>789</v>
      </c>
      <c r="B790" s="16" t="s">
        <v>799</v>
      </c>
      <c r="C790" s="17">
        <v>9781265513320</v>
      </c>
      <c r="D790" s="17">
        <v>9781265513320</v>
      </c>
      <c r="E790" s="16" t="s">
        <v>7460</v>
      </c>
      <c r="F790" s="16" t="s">
        <v>17</v>
      </c>
      <c r="G790" s="16" t="s">
        <v>17</v>
      </c>
      <c r="H790" s="16" t="s">
        <v>17</v>
      </c>
      <c r="I790" s="16" t="s">
        <v>17</v>
      </c>
      <c r="J790" s="16" t="s">
        <v>17</v>
      </c>
      <c r="K790" s="16" t="s">
        <v>468</v>
      </c>
      <c r="L790" s="16" t="s">
        <v>467</v>
      </c>
      <c r="M790" s="16" t="s">
        <v>799</v>
      </c>
      <c r="N790" s="16" t="s">
        <v>17</v>
      </c>
      <c r="O790" s="16" t="s">
        <v>6921</v>
      </c>
      <c r="P790" s="16" t="s">
        <v>17</v>
      </c>
      <c r="Q790" s="16" t="s">
        <v>6922</v>
      </c>
      <c r="R790" s="16" t="s">
        <v>6923</v>
      </c>
      <c r="S790" s="16" t="s">
        <v>17</v>
      </c>
      <c r="T790" s="16" t="s">
        <v>7460</v>
      </c>
      <c r="U790" s="16" t="s">
        <v>17</v>
      </c>
      <c r="V790" s="16" t="s">
        <v>7072</v>
      </c>
      <c r="W790" s="16" t="s">
        <v>17</v>
      </c>
      <c r="X790" s="16" t="s">
        <v>799</v>
      </c>
      <c r="Y790" s="16" t="s">
        <v>17</v>
      </c>
      <c r="Z790" s="16" t="s">
        <v>6926</v>
      </c>
    </row>
    <row r="791" spans="1:26" x14ac:dyDescent="0.3">
      <c r="A791" s="16">
        <v>790</v>
      </c>
      <c r="B791" s="16" t="s">
        <v>799</v>
      </c>
      <c r="C791" s="17">
        <v>9780071811118</v>
      </c>
      <c r="D791" s="17">
        <v>9780071811118</v>
      </c>
      <c r="E791" s="16" t="s">
        <v>7823</v>
      </c>
      <c r="F791" s="16" t="s">
        <v>17</v>
      </c>
      <c r="G791" s="16" t="s">
        <v>17</v>
      </c>
      <c r="H791" s="16" t="s">
        <v>17</v>
      </c>
      <c r="I791" s="16" t="s">
        <v>17</v>
      </c>
      <c r="J791" s="16" t="s">
        <v>17</v>
      </c>
      <c r="K791" s="16" t="s">
        <v>801</v>
      </c>
      <c r="L791" s="16" t="s">
        <v>17</v>
      </c>
      <c r="M791" s="16" t="s">
        <v>799</v>
      </c>
      <c r="N791" s="16" t="s">
        <v>17</v>
      </c>
      <c r="O791" s="16" t="s">
        <v>6921</v>
      </c>
      <c r="P791" s="16" t="s">
        <v>17</v>
      </c>
      <c r="Q791" s="16" t="s">
        <v>6922</v>
      </c>
      <c r="R791" s="16" t="s">
        <v>6923</v>
      </c>
      <c r="S791" s="16" t="s">
        <v>17</v>
      </c>
      <c r="T791" s="16" t="s">
        <v>7823</v>
      </c>
      <c r="U791" s="16" t="s">
        <v>17</v>
      </c>
      <c r="V791" s="16" t="s">
        <v>7824</v>
      </c>
      <c r="W791" s="16" t="s">
        <v>800</v>
      </c>
      <c r="X791" s="16" t="s">
        <v>799</v>
      </c>
      <c r="Y791" s="16" t="s">
        <v>17</v>
      </c>
      <c r="Z791" s="16" t="s">
        <v>6926</v>
      </c>
    </row>
    <row r="792" spans="1:26" x14ac:dyDescent="0.3">
      <c r="A792" s="16">
        <v>791</v>
      </c>
      <c r="B792" s="16" t="s">
        <v>7852</v>
      </c>
      <c r="C792" s="17">
        <v>9781260453836</v>
      </c>
      <c r="D792" s="17">
        <v>9781260453836</v>
      </c>
      <c r="E792" s="16" t="s">
        <v>7853</v>
      </c>
      <c r="F792" s="16" t="s">
        <v>17</v>
      </c>
      <c r="G792" s="16" t="s">
        <v>17</v>
      </c>
      <c r="H792" s="16" t="s">
        <v>17</v>
      </c>
      <c r="I792" s="16" t="s">
        <v>17</v>
      </c>
      <c r="J792" s="16" t="s">
        <v>17</v>
      </c>
      <c r="K792" s="16" t="s">
        <v>845</v>
      </c>
      <c r="L792" s="16" t="s">
        <v>7854</v>
      </c>
      <c r="M792" s="16" t="s">
        <v>7852</v>
      </c>
      <c r="N792" s="16" t="s">
        <v>17</v>
      </c>
      <c r="O792" s="16" t="s">
        <v>6921</v>
      </c>
      <c r="P792" s="16" t="s">
        <v>17</v>
      </c>
      <c r="Q792" s="16" t="s">
        <v>6922</v>
      </c>
      <c r="R792" s="16" t="s">
        <v>6923</v>
      </c>
      <c r="S792" s="16" t="s">
        <v>17</v>
      </c>
      <c r="T792" s="16" t="s">
        <v>7853</v>
      </c>
      <c r="U792" s="16" t="s">
        <v>17</v>
      </c>
      <c r="V792" s="16" t="s">
        <v>7024</v>
      </c>
      <c r="W792" s="16" t="s">
        <v>17</v>
      </c>
      <c r="X792" s="16" t="s">
        <v>7852</v>
      </c>
      <c r="Y792" s="16" t="s">
        <v>17</v>
      </c>
      <c r="Z792" s="16" t="s">
        <v>6926</v>
      </c>
    </row>
    <row r="793" spans="1:26" x14ac:dyDescent="0.3">
      <c r="A793" s="16">
        <v>792</v>
      </c>
      <c r="B793" s="16" t="s">
        <v>1161</v>
      </c>
      <c r="C793" s="17">
        <v>9780071810906</v>
      </c>
      <c r="D793" s="17">
        <v>9780071810906</v>
      </c>
      <c r="E793" s="16" t="s">
        <v>7871</v>
      </c>
      <c r="F793" s="16" t="s">
        <v>17</v>
      </c>
      <c r="G793" s="16" t="s">
        <v>17</v>
      </c>
      <c r="H793" s="16" t="s">
        <v>17</v>
      </c>
      <c r="I793" s="16" t="s">
        <v>17</v>
      </c>
      <c r="J793" s="16" t="s">
        <v>17</v>
      </c>
      <c r="K793" s="16" t="s">
        <v>1163</v>
      </c>
      <c r="L793" s="16" t="s">
        <v>1162</v>
      </c>
      <c r="M793" s="16" t="s">
        <v>1161</v>
      </c>
      <c r="N793" s="16" t="s">
        <v>17</v>
      </c>
      <c r="O793" s="16" t="s">
        <v>6921</v>
      </c>
      <c r="P793" s="16" t="s">
        <v>17</v>
      </c>
      <c r="Q793" s="16" t="s">
        <v>6922</v>
      </c>
      <c r="R793" s="16" t="s">
        <v>6923</v>
      </c>
      <c r="S793" s="16" t="s">
        <v>17</v>
      </c>
      <c r="T793" s="16" t="s">
        <v>7871</v>
      </c>
      <c r="U793" s="16" t="s">
        <v>17</v>
      </c>
      <c r="V793" s="16" t="s">
        <v>7892</v>
      </c>
      <c r="W793" s="16" t="s">
        <v>17</v>
      </c>
      <c r="X793" s="16" t="s">
        <v>1161</v>
      </c>
      <c r="Y793" s="16" t="s">
        <v>17</v>
      </c>
      <c r="Z793" s="16" t="s">
        <v>6926</v>
      </c>
    </row>
    <row r="794" spans="1:26" x14ac:dyDescent="0.3">
      <c r="A794" s="16">
        <v>793</v>
      </c>
      <c r="B794" s="16" t="s">
        <v>8182</v>
      </c>
      <c r="C794" s="17">
        <v>9781260454208</v>
      </c>
      <c r="D794" s="17">
        <v>9781260454208</v>
      </c>
      <c r="E794" s="16" t="s">
        <v>8183</v>
      </c>
      <c r="F794" s="16" t="s">
        <v>17</v>
      </c>
      <c r="G794" s="16" t="s">
        <v>17</v>
      </c>
      <c r="H794" s="16" t="s">
        <v>17</v>
      </c>
      <c r="I794" s="16" t="s">
        <v>17</v>
      </c>
      <c r="J794" s="16" t="s">
        <v>17</v>
      </c>
      <c r="K794" s="16" t="s">
        <v>1264</v>
      </c>
      <c r="L794" s="16" t="s">
        <v>1263</v>
      </c>
      <c r="M794" s="16" t="s">
        <v>8182</v>
      </c>
      <c r="N794" s="16" t="s">
        <v>17</v>
      </c>
      <c r="O794" s="16" t="s">
        <v>6921</v>
      </c>
      <c r="P794" s="16" t="s">
        <v>17</v>
      </c>
      <c r="Q794" s="16" t="s">
        <v>6922</v>
      </c>
      <c r="R794" s="16" t="s">
        <v>6923</v>
      </c>
      <c r="S794" s="16" t="s">
        <v>17</v>
      </c>
      <c r="T794" s="16" t="s">
        <v>8183</v>
      </c>
      <c r="U794" s="16" t="s">
        <v>17</v>
      </c>
      <c r="V794" s="16" t="s">
        <v>7024</v>
      </c>
      <c r="W794" s="16" t="s">
        <v>17</v>
      </c>
      <c r="X794" s="16" t="s">
        <v>8182</v>
      </c>
      <c r="Y794" s="16" t="s">
        <v>17</v>
      </c>
      <c r="Z794" s="16" t="s">
        <v>6926</v>
      </c>
    </row>
    <row r="795" spans="1:26" x14ac:dyDescent="0.3">
      <c r="A795" s="16">
        <v>794</v>
      </c>
      <c r="B795" s="16" t="s">
        <v>8153</v>
      </c>
      <c r="C795" s="17">
        <v>9780071795579</v>
      </c>
      <c r="D795" s="17">
        <v>9780071795579</v>
      </c>
      <c r="E795" s="16" t="s">
        <v>6989</v>
      </c>
      <c r="F795" s="16" t="s">
        <v>17</v>
      </c>
      <c r="G795" s="16" t="s">
        <v>17</v>
      </c>
      <c r="H795" s="16" t="s">
        <v>17</v>
      </c>
      <c r="I795" s="16" t="s">
        <v>17</v>
      </c>
      <c r="J795" s="16" t="s">
        <v>17</v>
      </c>
      <c r="K795" s="16" t="s">
        <v>1240</v>
      </c>
      <c r="L795" s="16" t="s">
        <v>8154</v>
      </c>
      <c r="M795" s="16" t="s">
        <v>8153</v>
      </c>
      <c r="N795" s="16" t="s">
        <v>17</v>
      </c>
      <c r="O795" s="16" t="s">
        <v>6921</v>
      </c>
      <c r="P795" s="16" t="s">
        <v>17</v>
      </c>
      <c r="Q795" s="16" t="s">
        <v>6922</v>
      </c>
      <c r="R795" s="16" t="s">
        <v>6923</v>
      </c>
      <c r="S795" s="16" t="s">
        <v>17</v>
      </c>
      <c r="T795" s="16" t="s">
        <v>6989</v>
      </c>
      <c r="U795" s="16" t="s">
        <v>17</v>
      </c>
      <c r="V795" s="16" t="s">
        <v>7024</v>
      </c>
      <c r="W795" s="16" t="s">
        <v>17</v>
      </c>
      <c r="X795" s="16" t="s">
        <v>8153</v>
      </c>
      <c r="Y795" s="16" t="s">
        <v>17</v>
      </c>
      <c r="Z795" s="16" t="s">
        <v>6926</v>
      </c>
    </row>
    <row r="796" spans="1:26" x14ac:dyDescent="0.3">
      <c r="A796" s="16">
        <v>795</v>
      </c>
      <c r="B796" s="16" t="s">
        <v>7725</v>
      </c>
      <c r="C796" s="17">
        <v>9781260453812</v>
      </c>
      <c r="D796" s="17">
        <v>9781260453812</v>
      </c>
      <c r="E796" s="16" t="s">
        <v>7726</v>
      </c>
      <c r="F796" s="16" t="s">
        <v>17</v>
      </c>
      <c r="G796" s="16" t="s">
        <v>17</v>
      </c>
      <c r="H796" s="16" t="s">
        <v>17</v>
      </c>
      <c r="I796" s="16" t="s">
        <v>17</v>
      </c>
      <c r="J796" s="16" t="s">
        <v>17</v>
      </c>
      <c r="K796" s="16" t="s">
        <v>713</v>
      </c>
      <c r="L796" s="16" t="s">
        <v>7727</v>
      </c>
      <c r="M796" s="16" t="s">
        <v>7725</v>
      </c>
      <c r="N796" s="16" t="s">
        <v>17</v>
      </c>
      <c r="O796" s="16" t="s">
        <v>6921</v>
      </c>
      <c r="P796" s="16" t="s">
        <v>17</v>
      </c>
      <c r="Q796" s="16" t="s">
        <v>6922</v>
      </c>
      <c r="R796" s="16" t="s">
        <v>6923</v>
      </c>
      <c r="S796" s="16" t="s">
        <v>17</v>
      </c>
      <c r="T796" s="16" t="s">
        <v>7726</v>
      </c>
      <c r="U796" s="16" t="s">
        <v>17</v>
      </c>
      <c r="V796" s="16" t="s">
        <v>7024</v>
      </c>
      <c r="W796" s="16" t="s">
        <v>17</v>
      </c>
      <c r="X796" s="16" t="s">
        <v>7725</v>
      </c>
      <c r="Y796" s="16" t="s">
        <v>17</v>
      </c>
      <c r="Z796" s="16" t="s">
        <v>6926</v>
      </c>
    </row>
    <row r="797" spans="1:26" x14ac:dyDescent="0.3">
      <c r="A797" s="16">
        <v>796</v>
      </c>
      <c r="B797" s="16" t="s">
        <v>8316</v>
      </c>
      <c r="C797" s="17">
        <v>9781260454246</v>
      </c>
      <c r="D797" s="17">
        <v>9781260454246</v>
      </c>
      <c r="E797" s="16" t="s">
        <v>7286</v>
      </c>
      <c r="F797" s="16" t="s">
        <v>17</v>
      </c>
      <c r="G797" s="16" t="s">
        <v>17</v>
      </c>
      <c r="H797" s="16" t="s">
        <v>17</v>
      </c>
      <c r="I797" s="16" t="s">
        <v>17</v>
      </c>
      <c r="J797" s="16" t="s">
        <v>17</v>
      </c>
      <c r="K797" s="16" t="s">
        <v>1370</v>
      </c>
      <c r="L797" s="16" t="s">
        <v>7727</v>
      </c>
      <c r="M797" s="16" t="s">
        <v>8316</v>
      </c>
      <c r="N797" s="16" t="s">
        <v>17</v>
      </c>
      <c r="O797" s="16" t="s">
        <v>6921</v>
      </c>
      <c r="P797" s="16" t="s">
        <v>17</v>
      </c>
      <c r="Q797" s="16" t="s">
        <v>6922</v>
      </c>
      <c r="R797" s="16" t="s">
        <v>6923</v>
      </c>
      <c r="S797" s="16" t="s">
        <v>17</v>
      </c>
      <c r="T797" s="16" t="s">
        <v>7286</v>
      </c>
      <c r="U797" s="16" t="s">
        <v>17</v>
      </c>
      <c r="V797" s="16" t="s">
        <v>7024</v>
      </c>
      <c r="W797" s="16" t="s">
        <v>17</v>
      </c>
      <c r="X797" s="16" t="s">
        <v>8316</v>
      </c>
      <c r="Y797" s="16" t="s">
        <v>17</v>
      </c>
      <c r="Z797" s="16" t="s">
        <v>6926</v>
      </c>
    </row>
    <row r="798" spans="1:26" x14ac:dyDescent="0.3">
      <c r="A798" s="16">
        <v>797</v>
      </c>
      <c r="B798" s="16" t="s">
        <v>1558</v>
      </c>
      <c r="C798" s="17">
        <v>9780071829465</v>
      </c>
      <c r="D798" s="17">
        <v>9780071829465</v>
      </c>
      <c r="E798" s="16" t="s">
        <v>7133</v>
      </c>
      <c r="F798" s="16" t="s">
        <v>17</v>
      </c>
      <c r="G798" s="16" t="s">
        <v>17</v>
      </c>
      <c r="H798" s="16" t="s">
        <v>17</v>
      </c>
      <c r="I798" s="16" t="s">
        <v>17</v>
      </c>
      <c r="J798" s="16" t="s">
        <v>17</v>
      </c>
      <c r="K798" s="16" t="s">
        <v>1559</v>
      </c>
      <c r="L798" s="16" t="s">
        <v>711</v>
      </c>
      <c r="M798" s="16" t="s">
        <v>1558</v>
      </c>
      <c r="N798" s="16" t="s">
        <v>17</v>
      </c>
      <c r="O798" s="16" t="s">
        <v>6921</v>
      </c>
      <c r="P798" s="16" t="s">
        <v>17</v>
      </c>
      <c r="Q798" s="16" t="s">
        <v>6922</v>
      </c>
      <c r="R798" s="16" t="s">
        <v>6923</v>
      </c>
      <c r="S798" s="16" t="s">
        <v>17</v>
      </c>
      <c r="T798" s="16" t="s">
        <v>7133</v>
      </c>
      <c r="U798" s="16" t="s">
        <v>17</v>
      </c>
      <c r="V798" s="16" t="s">
        <v>7892</v>
      </c>
      <c r="W798" s="16" t="s">
        <v>17</v>
      </c>
      <c r="X798" s="16" t="s">
        <v>1558</v>
      </c>
      <c r="Y798" s="16" t="s">
        <v>17</v>
      </c>
      <c r="Z798" s="16" t="s">
        <v>6926</v>
      </c>
    </row>
    <row r="799" spans="1:26" x14ac:dyDescent="0.3">
      <c r="A799" s="16">
        <v>798</v>
      </c>
      <c r="B799" s="16" t="s">
        <v>8120</v>
      </c>
      <c r="C799" s="17">
        <v>9781260011463</v>
      </c>
      <c r="D799" s="17">
        <v>9781260011463</v>
      </c>
      <c r="E799" s="16" t="s">
        <v>7379</v>
      </c>
      <c r="F799" s="16" t="s">
        <v>17</v>
      </c>
      <c r="G799" s="16" t="s">
        <v>17</v>
      </c>
      <c r="H799" s="16" t="s">
        <v>17</v>
      </c>
      <c r="I799" s="16" t="s">
        <v>17</v>
      </c>
      <c r="J799" s="16" t="s">
        <v>17</v>
      </c>
      <c r="K799" s="16" t="s">
        <v>1208</v>
      </c>
      <c r="L799" s="16" t="s">
        <v>8121</v>
      </c>
      <c r="M799" s="16" t="s">
        <v>8120</v>
      </c>
      <c r="N799" s="16" t="s">
        <v>17</v>
      </c>
      <c r="O799" s="16" t="s">
        <v>6921</v>
      </c>
      <c r="P799" s="16" t="s">
        <v>17</v>
      </c>
      <c r="Q799" s="16" t="s">
        <v>6922</v>
      </c>
      <c r="R799" s="16" t="s">
        <v>6923</v>
      </c>
      <c r="S799" s="16" t="s">
        <v>17</v>
      </c>
      <c r="T799" s="16" t="s">
        <v>7379</v>
      </c>
      <c r="U799" s="16" t="s">
        <v>17</v>
      </c>
      <c r="V799" s="16" t="s">
        <v>7072</v>
      </c>
      <c r="W799" s="16" t="s">
        <v>17</v>
      </c>
      <c r="X799" s="16" t="s">
        <v>8120</v>
      </c>
      <c r="Y799" s="16" t="s">
        <v>17</v>
      </c>
      <c r="Z799" s="16" t="s">
        <v>6926</v>
      </c>
    </row>
    <row r="800" spans="1:26" x14ac:dyDescent="0.3">
      <c r="A800" s="16">
        <v>799</v>
      </c>
      <c r="B800" s="16" t="s">
        <v>7285</v>
      </c>
      <c r="C800" s="17">
        <v>9781260456547</v>
      </c>
      <c r="D800" s="17">
        <v>9781260456547</v>
      </c>
      <c r="E800" s="16" t="s">
        <v>7286</v>
      </c>
      <c r="F800" s="16" t="s">
        <v>17</v>
      </c>
      <c r="G800" s="16" t="s">
        <v>17</v>
      </c>
      <c r="H800" s="16" t="s">
        <v>17</v>
      </c>
      <c r="I800" s="16" t="s">
        <v>17</v>
      </c>
      <c r="J800" s="16" t="s">
        <v>17</v>
      </c>
      <c r="K800" s="16" t="s">
        <v>309</v>
      </c>
      <c r="L800" s="16" t="s">
        <v>7287</v>
      </c>
      <c r="M800" s="16" t="s">
        <v>7285</v>
      </c>
      <c r="N800" s="16" t="s">
        <v>17</v>
      </c>
      <c r="O800" s="16" t="s">
        <v>6921</v>
      </c>
      <c r="P800" s="16" t="s">
        <v>17</v>
      </c>
      <c r="Q800" s="16" t="s">
        <v>6922</v>
      </c>
      <c r="R800" s="16" t="s">
        <v>6923</v>
      </c>
      <c r="S800" s="16" t="s">
        <v>17</v>
      </c>
      <c r="T800" s="16" t="s">
        <v>7286</v>
      </c>
      <c r="U800" s="16" t="s">
        <v>17</v>
      </c>
      <c r="V800" s="16" t="s">
        <v>7145</v>
      </c>
      <c r="W800" s="16" t="s">
        <v>17</v>
      </c>
      <c r="X800" s="16" t="s">
        <v>7285</v>
      </c>
      <c r="Y800" s="16" t="s">
        <v>17</v>
      </c>
      <c r="Z800" s="16" t="s">
        <v>6926</v>
      </c>
    </row>
    <row r="801" spans="1:26" x14ac:dyDescent="0.3">
      <c r="A801" s="16">
        <v>800</v>
      </c>
      <c r="B801" s="16" t="s">
        <v>8371</v>
      </c>
      <c r="C801" s="17">
        <v>9780071635080</v>
      </c>
      <c r="D801" s="17">
        <v>9780071635080</v>
      </c>
      <c r="E801" s="16" t="s">
        <v>6985</v>
      </c>
      <c r="F801" s="16" t="s">
        <v>17</v>
      </c>
      <c r="G801" s="16" t="s">
        <v>17</v>
      </c>
      <c r="H801" s="16" t="s">
        <v>17</v>
      </c>
      <c r="I801" s="16" t="s">
        <v>17</v>
      </c>
      <c r="J801" s="16" t="s">
        <v>17</v>
      </c>
      <c r="K801" s="16" t="s">
        <v>1522</v>
      </c>
      <c r="L801" s="16" t="s">
        <v>1521</v>
      </c>
      <c r="M801" s="16" t="s">
        <v>8371</v>
      </c>
      <c r="N801" s="16" t="s">
        <v>17</v>
      </c>
      <c r="O801" s="16" t="s">
        <v>6921</v>
      </c>
      <c r="P801" s="16" t="s">
        <v>17</v>
      </c>
      <c r="Q801" s="16" t="s">
        <v>6922</v>
      </c>
      <c r="R801" s="16" t="s">
        <v>6923</v>
      </c>
      <c r="S801" s="16" t="s">
        <v>17</v>
      </c>
      <c r="T801" s="16" t="s">
        <v>6985</v>
      </c>
      <c r="U801" s="16" t="s">
        <v>17</v>
      </c>
      <c r="V801" s="16" t="s">
        <v>7320</v>
      </c>
      <c r="W801" s="16" t="s">
        <v>17</v>
      </c>
      <c r="X801" s="16" t="s">
        <v>8371</v>
      </c>
      <c r="Y801" s="16" t="s">
        <v>17</v>
      </c>
      <c r="Z801" s="16" t="s">
        <v>6926</v>
      </c>
    </row>
    <row r="802" spans="1:26" x14ac:dyDescent="0.3">
      <c r="A802" s="16">
        <v>801</v>
      </c>
      <c r="B802" s="16" t="s">
        <v>7955</v>
      </c>
      <c r="C802" s="17">
        <v>9781260456523</v>
      </c>
      <c r="D802" s="17">
        <v>9781260456523</v>
      </c>
      <c r="E802" s="16" t="s">
        <v>7286</v>
      </c>
      <c r="F802" s="16" t="s">
        <v>17</v>
      </c>
      <c r="G802" s="16" t="s">
        <v>17</v>
      </c>
      <c r="H802" s="16" t="s">
        <v>17</v>
      </c>
      <c r="I802" s="16" t="s">
        <v>17</v>
      </c>
      <c r="J802" s="16" t="s">
        <v>17</v>
      </c>
      <c r="K802" s="16" t="s">
        <v>992</v>
      </c>
      <c r="L802" s="16" t="s">
        <v>7287</v>
      </c>
      <c r="M802" s="16" t="s">
        <v>7955</v>
      </c>
      <c r="N802" s="16" t="s">
        <v>17</v>
      </c>
      <c r="O802" s="16" t="s">
        <v>6921</v>
      </c>
      <c r="P802" s="16" t="s">
        <v>17</v>
      </c>
      <c r="Q802" s="16" t="s">
        <v>6922</v>
      </c>
      <c r="R802" s="16" t="s">
        <v>6923</v>
      </c>
      <c r="S802" s="16" t="s">
        <v>17</v>
      </c>
      <c r="T802" s="16" t="s">
        <v>7286</v>
      </c>
      <c r="U802" s="16" t="s">
        <v>17</v>
      </c>
      <c r="V802" s="16" t="s">
        <v>7024</v>
      </c>
      <c r="W802" s="16" t="s">
        <v>17</v>
      </c>
      <c r="X802" s="16" t="s">
        <v>7955</v>
      </c>
      <c r="Y802" s="16" t="s">
        <v>17</v>
      </c>
      <c r="Z802" s="16" t="s">
        <v>6926</v>
      </c>
    </row>
    <row r="803" spans="1:26" x14ac:dyDescent="0.3">
      <c r="A803" s="16">
        <v>802</v>
      </c>
      <c r="B803" s="16" t="s">
        <v>1164</v>
      </c>
      <c r="C803" s="17">
        <v>9780071830829</v>
      </c>
      <c r="D803" s="17">
        <v>9780071830829</v>
      </c>
      <c r="E803" s="16" t="s">
        <v>7263</v>
      </c>
      <c r="F803" s="16" t="s">
        <v>17</v>
      </c>
      <c r="G803" s="16" t="s">
        <v>17</v>
      </c>
      <c r="H803" s="16" t="s">
        <v>17</v>
      </c>
      <c r="I803" s="16" t="s">
        <v>17</v>
      </c>
      <c r="J803" s="16" t="s">
        <v>17</v>
      </c>
      <c r="K803" s="16" t="s">
        <v>1166</v>
      </c>
      <c r="L803" s="16" t="s">
        <v>1165</v>
      </c>
      <c r="M803" s="16" t="s">
        <v>1164</v>
      </c>
      <c r="N803" s="16" t="s">
        <v>17</v>
      </c>
      <c r="O803" s="16" t="s">
        <v>6921</v>
      </c>
      <c r="P803" s="16" t="s">
        <v>17</v>
      </c>
      <c r="Q803" s="16" t="s">
        <v>6922</v>
      </c>
      <c r="R803" s="16" t="s">
        <v>6923</v>
      </c>
      <c r="S803" s="16" t="s">
        <v>17</v>
      </c>
      <c r="T803" s="16" t="s">
        <v>7263</v>
      </c>
      <c r="U803" s="16" t="s">
        <v>17</v>
      </c>
      <c r="V803" s="16" t="s">
        <v>7892</v>
      </c>
      <c r="W803" s="16" t="s">
        <v>17</v>
      </c>
      <c r="X803" s="16" t="s">
        <v>1164</v>
      </c>
      <c r="Y803" s="16" t="s">
        <v>17</v>
      </c>
      <c r="Z803" s="16" t="s">
        <v>6926</v>
      </c>
    </row>
    <row r="804" spans="1:26" x14ac:dyDescent="0.3">
      <c r="A804" s="16">
        <v>803</v>
      </c>
      <c r="B804" s="16" t="s">
        <v>8284</v>
      </c>
      <c r="C804" s="17">
        <v>9781260011487</v>
      </c>
      <c r="D804" s="17">
        <v>9781260011487</v>
      </c>
      <c r="E804" s="16" t="s">
        <v>8285</v>
      </c>
      <c r="F804" s="16" t="s">
        <v>17</v>
      </c>
      <c r="G804" s="16" t="s">
        <v>17</v>
      </c>
      <c r="H804" s="16" t="s">
        <v>17</v>
      </c>
      <c r="I804" s="16" t="s">
        <v>17</v>
      </c>
      <c r="J804" s="16" t="s">
        <v>17</v>
      </c>
      <c r="K804" s="16" t="s">
        <v>1350</v>
      </c>
      <c r="L804" s="16" t="s">
        <v>8286</v>
      </c>
      <c r="M804" s="16" t="s">
        <v>8284</v>
      </c>
      <c r="N804" s="16" t="s">
        <v>17</v>
      </c>
      <c r="O804" s="16" t="s">
        <v>6921</v>
      </c>
      <c r="P804" s="16" t="s">
        <v>17</v>
      </c>
      <c r="Q804" s="16" t="s">
        <v>6922</v>
      </c>
      <c r="R804" s="16" t="s">
        <v>6923</v>
      </c>
      <c r="S804" s="16" t="s">
        <v>17</v>
      </c>
      <c r="T804" s="16" t="s">
        <v>8285</v>
      </c>
      <c r="U804" s="16" t="s">
        <v>17</v>
      </c>
      <c r="V804" s="16" t="s">
        <v>7072</v>
      </c>
      <c r="W804" s="16" t="s">
        <v>17</v>
      </c>
      <c r="X804" s="16" t="s">
        <v>8284</v>
      </c>
      <c r="Y804" s="16" t="s">
        <v>17</v>
      </c>
      <c r="Z804" s="16" t="s">
        <v>6926</v>
      </c>
    </row>
    <row r="805" spans="1:26" x14ac:dyDescent="0.3">
      <c r="A805" s="16">
        <v>804</v>
      </c>
      <c r="B805" s="16" t="s">
        <v>853</v>
      </c>
      <c r="C805" s="17">
        <v>9780071795357</v>
      </c>
      <c r="D805" s="17">
        <v>9780071795357</v>
      </c>
      <c r="E805" s="16" t="s">
        <v>7777</v>
      </c>
      <c r="F805" s="16" t="s">
        <v>17</v>
      </c>
      <c r="G805" s="16" t="s">
        <v>17</v>
      </c>
      <c r="H805" s="16" t="s">
        <v>17</v>
      </c>
      <c r="I805" s="16" t="s">
        <v>17</v>
      </c>
      <c r="J805" s="16" t="s">
        <v>17</v>
      </c>
      <c r="K805" s="16" t="s">
        <v>854</v>
      </c>
      <c r="L805" s="16" t="s">
        <v>7862</v>
      </c>
      <c r="M805" s="16" t="s">
        <v>853</v>
      </c>
      <c r="N805" s="16" t="s">
        <v>17</v>
      </c>
      <c r="O805" s="16" t="s">
        <v>6921</v>
      </c>
      <c r="P805" s="16" t="s">
        <v>17</v>
      </c>
      <c r="Q805" s="16" t="s">
        <v>6922</v>
      </c>
      <c r="R805" s="16" t="s">
        <v>6923</v>
      </c>
      <c r="S805" s="16" t="s">
        <v>17</v>
      </c>
      <c r="T805" s="16" t="s">
        <v>7777</v>
      </c>
      <c r="U805" s="16" t="s">
        <v>17</v>
      </c>
      <c r="V805" s="16" t="s">
        <v>7824</v>
      </c>
      <c r="W805" s="16" t="s">
        <v>17</v>
      </c>
      <c r="X805" s="16" t="s">
        <v>853</v>
      </c>
      <c r="Y805" s="16" t="s">
        <v>17</v>
      </c>
      <c r="Z805" s="16" t="s">
        <v>6926</v>
      </c>
    </row>
    <row r="806" spans="1:26" x14ac:dyDescent="0.3">
      <c r="A806" s="16">
        <v>805</v>
      </c>
      <c r="B806" s="16" t="s">
        <v>8180</v>
      </c>
      <c r="C806" s="17">
        <v>9781260010534</v>
      </c>
      <c r="D806" s="17">
        <v>9781260010534</v>
      </c>
      <c r="E806" s="16" t="s">
        <v>8181</v>
      </c>
      <c r="F806" s="16" t="s">
        <v>17</v>
      </c>
      <c r="G806" s="16" t="s">
        <v>17</v>
      </c>
      <c r="H806" s="16" t="s">
        <v>17</v>
      </c>
      <c r="I806" s="16" t="s">
        <v>17</v>
      </c>
      <c r="J806" s="16" t="s">
        <v>17</v>
      </c>
      <c r="K806" s="16" t="s">
        <v>1262</v>
      </c>
      <c r="L806" s="16" t="s">
        <v>1261</v>
      </c>
      <c r="M806" s="16" t="s">
        <v>8180</v>
      </c>
      <c r="N806" s="16" t="s">
        <v>17</v>
      </c>
      <c r="O806" s="16" t="s">
        <v>6921</v>
      </c>
      <c r="P806" s="16" t="s">
        <v>17</v>
      </c>
      <c r="Q806" s="16" t="s">
        <v>6922</v>
      </c>
      <c r="R806" s="16" t="s">
        <v>6923</v>
      </c>
      <c r="S806" s="16" t="s">
        <v>17</v>
      </c>
      <c r="T806" s="16" t="s">
        <v>8181</v>
      </c>
      <c r="U806" s="16" t="s">
        <v>17</v>
      </c>
      <c r="V806" s="16" t="s">
        <v>6944</v>
      </c>
      <c r="W806" s="16" t="s">
        <v>17</v>
      </c>
      <c r="X806" s="16" t="s">
        <v>8180</v>
      </c>
      <c r="Y806" s="16" t="s">
        <v>17</v>
      </c>
      <c r="Z806" s="16" t="s">
        <v>6926</v>
      </c>
    </row>
    <row r="807" spans="1:26" x14ac:dyDescent="0.3">
      <c r="A807" s="16">
        <v>806</v>
      </c>
      <c r="B807" s="16" t="s">
        <v>6961</v>
      </c>
      <c r="C807" s="17">
        <v>9780071440578</v>
      </c>
      <c r="D807" s="17">
        <v>9780071440578</v>
      </c>
      <c r="E807" s="16" t="s">
        <v>6962</v>
      </c>
      <c r="F807" s="16" t="s">
        <v>17</v>
      </c>
      <c r="G807" s="16" t="s">
        <v>17</v>
      </c>
      <c r="H807" s="16" t="s">
        <v>17</v>
      </c>
      <c r="I807" s="16" t="s">
        <v>17</v>
      </c>
      <c r="J807" s="16" t="s">
        <v>17</v>
      </c>
      <c r="K807" s="16" t="s">
        <v>45</v>
      </c>
      <c r="L807" s="16" t="s">
        <v>6963</v>
      </c>
      <c r="M807" s="16" t="s">
        <v>6961</v>
      </c>
      <c r="N807" s="16" t="s">
        <v>17</v>
      </c>
      <c r="O807" s="16" t="s">
        <v>6921</v>
      </c>
      <c r="P807" s="16" t="s">
        <v>17</v>
      </c>
      <c r="Q807" s="16" t="s">
        <v>6922</v>
      </c>
      <c r="R807" s="16" t="s">
        <v>6923</v>
      </c>
      <c r="S807" s="16" t="s">
        <v>17</v>
      </c>
      <c r="T807" s="16" t="s">
        <v>6962</v>
      </c>
      <c r="U807" s="16" t="s">
        <v>17</v>
      </c>
      <c r="V807" s="16" t="s">
        <v>6929</v>
      </c>
      <c r="W807" s="16" t="s">
        <v>17</v>
      </c>
      <c r="X807" s="16" t="s">
        <v>6961</v>
      </c>
      <c r="Y807" s="16" t="s">
        <v>17</v>
      </c>
      <c r="Z807" s="16" t="s">
        <v>6926</v>
      </c>
    </row>
    <row r="808" spans="1:26" x14ac:dyDescent="0.3">
      <c r="A808" s="16">
        <v>807</v>
      </c>
      <c r="B808" s="16" t="s">
        <v>8391</v>
      </c>
      <c r="C808" s="17">
        <v>9780071370677</v>
      </c>
      <c r="D808" s="17">
        <v>9780071370677</v>
      </c>
      <c r="E808" s="16" t="s">
        <v>6920</v>
      </c>
      <c r="F808" s="16" t="s">
        <v>17</v>
      </c>
      <c r="G808" s="16" t="s">
        <v>17</v>
      </c>
      <c r="H808" s="16" t="s">
        <v>17</v>
      </c>
      <c r="I808" s="16" t="s">
        <v>17</v>
      </c>
      <c r="J808" s="16" t="s">
        <v>17</v>
      </c>
      <c r="K808" s="16" t="s">
        <v>1586</v>
      </c>
      <c r="L808" s="16" t="s">
        <v>563</v>
      </c>
      <c r="M808" s="16" t="s">
        <v>8391</v>
      </c>
      <c r="N808" s="16" t="s">
        <v>17</v>
      </c>
      <c r="O808" s="16" t="s">
        <v>6921</v>
      </c>
      <c r="P808" s="16" t="s">
        <v>17</v>
      </c>
      <c r="Q808" s="16" t="s">
        <v>6922</v>
      </c>
      <c r="R808" s="16" t="s">
        <v>6923</v>
      </c>
      <c r="S808" s="16" t="s">
        <v>17</v>
      </c>
      <c r="T808" s="16" t="s">
        <v>6920</v>
      </c>
      <c r="U808" s="16" t="s">
        <v>17</v>
      </c>
      <c r="V808" s="16" t="s">
        <v>7363</v>
      </c>
      <c r="W808" s="16" t="s">
        <v>17</v>
      </c>
      <c r="X808" s="16" t="s">
        <v>8391</v>
      </c>
      <c r="Y808" s="16" t="s">
        <v>17</v>
      </c>
      <c r="Z808" s="16" t="s">
        <v>6926</v>
      </c>
    </row>
    <row r="809" spans="1:26" x14ac:dyDescent="0.3">
      <c r="A809" s="16">
        <v>808</v>
      </c>
      <c r="B809" s="16" t="s">
        <v>8442</v>
      </c>
      <c r="C809" s="17">
        <v>9780071701099</v>
      </c>
      <c r="D809" s="17">
        <v>9780071701099</v>
      </c>
      <c r="E809" s="16" t="s">
        <v>8443</v>
      </c>
      <c r="F809" s="16" t="s">
        <v>17</v>
      </c>
      <c r="G809" s="16" t="s">
        <v>17</v>
      </c>
      <c r="H809" s="16" t="s">
        <v>17</v>
      </c>
      <c r="I809" s="16" t="s">
        <v>17</v>
      </c>
      <c r="J809" s="16" t="s">
        <v>17</v>
      </c>
      <c r="K809" s="16" t="s">
        <v>1624</v>
      </c>
      <c r="L809" s="16" t="s">
        <v>8444</v>
      </c>
      <c r="M809" s="16" t="s">
        <v>8442</v>
      </c>
      <c r="N809" s="16" t="s">
        <v>17</v>
      </c>
      <c r="O809" s="16" t="s">
        <v>6921</v>
      </c>
      <c r="P809" s="16" t="s">
        <v>17</v>
      </c>
      <c r="Q809" s="16" t="s">
        <v>6922</v>
      </c>
      <c r="R809" s="16" t="s">
        <v>6923</v>
      </c>
      <c r="S809" s="16" t="s">
        <v>17</v>
      </c>
      <c r="T809" s="16" t="s">
        <v>8443</v>
      </c>
      <c r="U809" s="16" t="s">
        <v>17</v>
      </c>
      <c r="V809" s="16" t="s">
        <v>6929</v>
      </c>
      <c r="W809" s="16" t="s">
        <v>17</v>
      </c>
      <c r="X809" s="16" t="s">
        <v>8442</v>
      </c>
      <c r="Y809" s="16" t="s">
        <v>17</v>
      </c>
      <c r="Z809" s="16" t="s">
        <v>6926</v>
      </c>
    </row>
    <row r="810" spans="1:26" x14ac:dyDescent="0.3">
      <c r="A810" s="16">
        <v>809</v>
      </c>
      <c r="B810" s="16" t="s">
        <v>7897</v>
      </c>
      <c r="C810" s="17">
        <v>9780071839440</v>
      </c>
      <c r="D810" s="17">
        <v>9780071839440</v>
      </c>
      <c r="E810" s="16" t="s">
        <v>7478</v>
      </c>
      <c r="F810" s="16" t="s">
        <v>17</v>
      </c>
      <c r="G810" s="16" t="s">
        <v>17</v>
      </c>
      <c r="H810" s="16" t="s">
        <v>17</v>
      </c>
      <c r="I810" s="16" t="s">
        <v>17</v>
      </c>
      <c r="J810" s="16" t="s">
        <v>17</v>
      </c>
      <c r="K810" s="16" t="s">
        <v>898</v>
      </c>
      <c r="L810" s="16" t="s">
        <v>897</v>
      </c>
      <c r="M810" s="16" t="s">
        <v>7897</v>
      </c>
      <c r="N810" s="16" t="s">
        <v>17</v>
      </c>
      <c r="O810" s="16" t="s">
        <v>6921</v>
      </c>
      <c r="P810" s="16" t="s">
        <v>17</v>
      </c>
      <c r="Q810" s="16" t="s">
        <v>6922</v>
      </c>
      <c r="R810" s="16" t="s">
        <v>6923</v>
      </c>
      <c r="S810" s="16" t="s">
        <v>17</v>
      </c>
      <c r="T810" s="16" t="s">
        <v>7478</v>
      </c>
      <c r="U810" s="16" t="s">
        <v>17</v>
      </c>
      <c r="V810" s="16" t="s">
        <v>6929</v>
      </c>
      <c r="W810" s="16" t="s">
        <v>17</v>
      </c>
      <c r="X810" s="16" t="s">
        <v>7897</v>
      </c>
      <c r="Y810" s="16" t="s">
        <v>17</v>
      </c>
      <c r="Z810" s="16" t="s">
        <v>6926</v>
      </c>
    </row>
    <row r="811" spans="1:26" x14ac:dyDescent="0.3">
      <c r="A811" s="16">
        <v>810</v>
      </c>
      <c r="B811" s="16" t="s">
        <v>7631</v>
      </c>
      <c r="C811" s="17">
        <v>9781260467390</v>
      </c>
      <c r="D811" s="17">
        <v>9781260467390</v>
      </c>
      <c r="E811" s="16" t="s">
        <v>7632</v>
      </c>
      <c r="F811" s="16" t="s">
        <v>17</v>
      </c>
      <c r="G811" s="16" t="s">
        <v>17</v>
      </c>
      <c r="H811" s="16" t="s">
        <v>17</v>
      </c>
      <c r="I811" s="16" t="s">
        <v>17</v>
      </c>
      <c r="J811" s="16" t="s">
        <v>17</v>
      </c>
      <c r="K811" s="16" t="s">
        <v>625</v>
      </c>
      <c r="L811" s="16" t="s">
        <v>7539</v>
      </c>
      <c r="M811" s="16" t="s">
        <v>7631</v>
      </c>
      <c r="N811" s="16" t="s">
        <v>17</v>
      </c>
      <c r="O811" s="16" t="s">
        <v>6921</v>
      </c>
      <c r="P811" s="16" t="s">
        <v>17</v>
      </c>
      <c r="Q811" s="16" t="s">
        <v>6922</v>
      </c>
      <c r="R811" s="16" t="s">
        <v>6923</v>
      </c>
      <c r="S811" s="16" t="s">
        <v>17</v>
      </c>
      <c r="T811" s="16" t="s">
        <v>7632</v>
      </c>
      <c r="U811" s="16" t="s">
        <v>17</v>
      </c>
      <c r="V811" s="16" t="s">
        <v>6929</v>
      </c>
      <c r="W811" s="16" t="s">
        <v>17</v>
      </c>
      <c r="X811" s="16" t="s">
        <v>7631</v>
      </c>
      <c r="Y811" s="16" t="s">
        <v>17</v>
      </c>
      <c r="Z811" s="16" t="s">
        <v>6926</v>
      </c>
    </row>
    <row r="812" spans="1:26" x14ac:dyDescent="0.3">
      <c r="A812" s="16">
        <v>811</v>
      </c>
      <c r="B812" s="16" t="s">
        <v>1499</v>
      </c>
      <c r="C812" s="17">
        <v>9781259587696</v>
      </c>
      <c r="D812" s="17">
        <v>9781259587696</v>
      </c>
      <c r="E812" s="16" t="s">
        <v>7827</v>
      </c>
      <c r="F812" s="16" t="s">
        <v>17</v>
      </c>
      <c r="G812" s="16" t="s">
        <v>17</v>
      </c>
      <c r="H812" s="16" t="s">
        <v>17</v>
      </c>
      <c r="I812" s="16" t="s">
        <v>17</v>
      </c>
      <c r="J812" s="16" t="s">
        <v>17</v>
      </c>
      <c r="K812" s="16" t="s">
        <v>807</v>
      </c>
      <c r="L812" s="16" t="s">
        <v>17</v>
      </c>
      <c r="M812" s="16" t="s">
        <v>1499</v>
      </c>
      <c r="N812" s="16" t="s">
        <v>17</v>
      </c>
      <c r="O812" s="16" t="s">
        <v>6921</v>
      </c>
      <c r="P812" s="16" t="s">
        <v>17</v>
      </c>
      <c r="Q812" s="16" t="s">
        <v>6922</v>
      </c>
      <c r="R812" s="16" t="s">
        <v>6923</v>
      </c>
      <c r="S812" s="16" t="s">
        <v>17</v>
      </c>
      <c r="T812" s="16" t="s">
        <v>7827</v>
      </c>
      <c r="U812" s="16" t="s">
        <v>17</v>
      </c>
      <c r="V812" s="16" t="s">
        <v>6924</v>
      </c>
      <c r="W812" s="16" t="s">
        <v>328</v>
      </c>
      <c r="X812" s="16" t="s">
        <v>1499</v>
      </c>
      <c r="Y812" s="16" t="s">
        <v>17</v>
      </c>
      <c r="Z812" s="16" t="s">
        <v>6926</v>
      </c>
    </row>
    <row r="813" spans="1:26" x14ac:dyDescent="0.3">
      <c r="A813" s="16">
        <v>812</v>
      </c>
      <c r="B813" s="16" t="s">
        <v>1499</v>
      </c>
      <c r="C813" s="17">
        <v>9780071445597</v>
      </c>
      <c r="D813" s="17">
        <v>9780071445597</v>
      </c>
      <c r="E813" s="16" t="s">
        <v>6920</v>
      </c>
      <c r="F813" s="16" t="s">
        <v>17</v>
      </c>
      <c r="G813" s="16" t="s">
        <v>17</v>
      </c>
      <c r="H813" s="16" t="s">
        <v>17</v>
      </c>
      <c r="I813" s="16" t="s">
        <v>17</v>
      </c>
      <c r="J813" s="16" t="s">
        <v>17</v>
      </c>
      <c r="K813" s="16" t="s">
        <v>1500</v>
      </c>
      <c r="L813" s="16" t="s">
        <v>1065</v>
      </c>
      <c r="M813" s="16" t="s">
        <v>1499</v>
      </c>
      <c r="N813" s="16" t="s">
        <v>17</v>
      </c>
      <c r="O813" s="16" t="s">
        <v>6921</v>
      </c>
      <c r="P813" s="16" t="s">
        <v>17</v>
      </c>
      <c r="Q813" s="16" t="s">
        <v>6922</v>
      </c>
      <c r="R813" s="16" t="s">
        <v>6923</v>
      </c>
      <c r="S813" s="16" t="s">
        <v>17</v>
      </c>
      <c r="T813" s="16" t="s">
        <v>6920</v>
      </c>
      <c r="U813" s="16" t="s">
        <v>17</v>
      </c>
      <c r="V813" s="16" t="s">
        <v>7049</v>
      </c>
      <c r="W813" s="16" t="s">
        <v>17</v>
      </c>
      <c r="X813" s="16" t="s">
        <v>1499</v>
      </c>
      <c r="Y813" s="16" t="s">
        <v>17</v>
      </c>
      <c r="Z813" s="16" t="s">
        <v>6926</v>
      </c>
    </row>
    <row r="814" spans="1:26" x14ac:dyDescent="0.3">
      <c r="A814" s="16">
        <v>813</v>
      </c>
      <c r="B814" s="16" t="s">
        <v>6974</v>
      </c>
      <c r="C814" s="17">
        <v>9780071605724</v>
      </c>
      <c r="D814" s="17">
        <v>9780071605724</v>
      </c>
      <c r="E814" s="16" t="s">
        <v>6920</v>
      </c>
      <c r="F814" s="16" t="s">
        <v>17</v>
      </c>
      <c r="G814" s="16" t="s">
        <v>17</v>
      </c>
      <c r="H814" s="16" t="s">
        <v>17</v>
      </c>
      <c r="I814" s="16" t="s">
        <v>17</v>
      </c>
      <c r="J814" s="16" t="s">
        <v>17</v>
      </c>
      <c r="K814" s="16" t="s">
        <v>53</v>
      </c>
      <c r="L814" s="16" t="s">
        <v>52</v>
      </c>
      <c r="M814" s="16" t="s">
        <v>6974</v>
      </c>
      <c r="N814" s="16" t="s">
        <v>17</v>
      </c>
      <c r="O814" s="16" t="s">
        <v>6921</v>
      </c>
      <c r="P814" s="16" t="s">
        <v>17</v>
      </c>
      <c r="Q814" s="16" t="s">
        <v>6922</v>
      </c>
      <c r="R814" s="16" t="s">
        <v>6923</v>
      </c>
      <c r="S814" s="16" t="s">
        <v>17</v>
      </c>
      <c r="T814" s="16" t="s">
        <v>6920</v>
      </c>
      <c r="U814" s="16" t="s">
        <v>17</v>
      </c>
      <c r="V814" s="16" t="s">
        <v>6924</v>
      </c>
      <c r="W814" s="16" t="s">
        <v>17</v>
      </c>
      <c r="X814" s="16" t="s">
        <v>6974</v>
      </c>
      <c r="Y814" s="16" t="s">
        <v>17</v>
      </c>
      <c r="Z814" s="16" t="s">
        <v>6926</v>
      </c>
    </row>
    <row r="815" spans="1:26" x14ac:dyDescent="0.3">
      <c r="A815" s="16">
        <v>814</v>
      </c>
      <c r="B815" s="16" t="s">
        <v>7017</v>
      </c>
      <c r="C815" s="17">
        <v>9780071605700</v>
      </c>
      <c r="D815" s="17">
        <v>9780071605700</v>
      </c>
      <c r="E815" s="16" t="s">
        <v>6920</v>
      </c>
      <c r="F815" s="16" t="s">
        <v>17</v>
      </c>
      <c r="G815" s="16" t="s">
        <v>17</v>
      </c>
      <c r="H815" s="16" t="s">
        <v>17</v>
      </c>
      <c r="I815" s="16" t="s">
        <v>17</v>
      </c>
      <c r="J815" s="16" t="s">
        <v>17</v>
      </c>
      <c r="K815" s="16" t="s">
        <v>87</v>
      </c>
      <c r="L815" s="16" t="s">
        <v>52</v>
      </c>
      <c r="M815" s="16" t="s">
        <v>7017</v>
      </c>
      <c r="N815" s="16" t="s">
        <v>17</v>
      </c>
      <c r="O815" s="16" t="s">
        <v>6921</v>
      </c>
      <c r="P815" s="16" t="s">
        <v>17</v>
      </c>
      <c r="Q815" s="16" t="s">
        <v>6922</v>
      </c>
      <c r="R815" s="16" t="s">
        <v>6923</v>
      </c>
      <c r="S815" s="16" t="s">
        <v>17</v>
      </c>
      <c r="T815" s="16" t="s">
        <v>6920</v>
      </c>
      <c r="U815" s="16" t="s">
        <v>17</v>
      </c>
      <c r="V815" s="16" t="s">
        <v>6924</v>
      </c>
      <c r="W815" s="16" t="s">
        <v>17</v>
      </c>
      <c r="X815" s="16" t="s">
        <v>7017</v>
      </c>
      <c r="Y815" s="16" t="s">
        <v>17</v>
      </c>
      <c r="Z815" s="16" t="s">
        <v>6926</v>
      </c>
    </row>
    <row r="816" spans="1:26" x14ac:dyDescent="0.3">
      <c r="A816" s="16">
        <v>815</v>
      </c>
      <c r="B816" s="16" t="s">
        <v>8216</v>
      </c>
      <c r="C816" s="17">
        <v>9780071822145</v>
      </c>
      <c r="D816" s="17">
        <v>9780071822145</v>
      </c>
      <c r="E816" s="16" t="s">
        <v>8217</v>
      </c>
      <c r="F816" s="16" t="s">
        <v>17</v>
      </c>
      <c r="G816" s="16" t="s">
        <v>17</v>
      </c>
      <c r="H816" s="16" t="s">
        <v>17</v>
      </c>
      <c r="I816" s="16" t="s">
        <v>17</v>
      </c>
      <c r="J816" s="16" t="s">
        <v>17</v>
      </c>
      <c r="K816" s="16" t="s">
        <v>1295</v>
      </c>
      <c r="L816" s="16" t="s">
        <v>954</v>
      </c>
      <c r="M816" s="16" t="s">
        <v>8216</v>
      </c>
      <c r="N816" s="16" t="s">
        <v>17</v>
      </c>
      <c r="O816" s="16" t="s">
        <v>6921</v>
      </c>
      <c r="P816" s="16" t="s">
        <v>17</v>
      </c>
      <c r="Q816" s="16" t="s">
        <v>6922</v>
      </c>
      <c r="R816" s="16" t="s">
        <v>6923</v>
      </c>
      <c r="S816" s="16" t="s">
        <v>17</v>
      </c>
      <c r="T816" s="16" t="s">
        <v>8217</v>
      </c>
      <c r="U816" s="16" t="s">
        <v>17</v>
      </c>
      <c r="V816" s="16" t="s">
        <v>7072</v>
      </c>
      <c r="W816" s="16" t="s">
        <v>17</v>
      </c>
      <c r="X816" s="16" t="s">
        <v>8216</v>
      </c>
      <c r="Y816" s="16" t="s">
        <v>17</v>
      </c>
      <c r="Z816" s="16" t="s">
        <v>6926</v>
      </c>
    </row>
    <row r="817" spans="1:26" x14ac:dyDescent="0.3">
      <c r="A817" s="16">
        <v>816</v>
      </c>
      <c r="B817" s="16" t="s">
        <v>7937</v>
      </c>
      <c r="C817" s="17">
        <v>9780071468794</v>
      </c>
      <c r="D817" s="17">
        <v>9780071468794</v>
      </c>
      <c r="E817" s="16" t="s">
        <v>6920</v>
      </c>
      <c r="F817" s="16" t="s">
        <v>17</v>
      </c>
      <c r="G817" s="16" t="s">
        <v>17</v>
      </c>
      <c r="H817" s="16" t="s">
        <v>17</v>
      </c>
      <c r="I817" s="16" t="s">
        <v>17</v>
      </c>
      <c r="J817" s="16" t="s">
        <v>17</v>
      </c>
      <c r="K817" s="16" t="s">
        <v>955</v>
      </c>
      <c r="L817" s="16" t="s">
        <v>954</v>
      </c>
      <c r="M817" s="16" t="s">
        <v>7937</v>
      </c>
      <c r="N817" s="16" t="s">
        <v>17</v>
      </c>
      <c r="O817" s="16" t="s">
        <v>6921</v>
      </c>
      <c r="P817" s="16" t="s">
        <v>17</v>
      </c>
      <c r="Q817" s="16" t="s">
        <v>6922</v>
      </c>
      <c r="R817" s="16" t="s">
        <v>6923</v>
      </c>
      <c r="S817" s="16" t="s">
        <v>17</v>
      </c>
      <c r="T817" s="16" t="s">
        <v>6920</v>
      </c>
      <c r="U817" s="16" t="s">
        <v>17</v>
      </c>
      <c r="V817" s="16" t="s">
        <v>7320</v>
      </c>
      <c r="W817" s="16" t="s">
        <v>17</v>
      </c>
      <c r="X817" s="16" t="s">
        <v>7937</v>
      </c>
      <c r="Y817" s="16" t="s">
        <v>17</v>
      </c>
      <c r="Z817" s="16" t="s">
        <v>6926</v>
      </c>
    </row>
    <row r="818" spans="1:26" x14ac:dyDescent="0.3">
      <c r="A818" s="16">
        <v>817</v>
      </c>
      <c r="B818" s="16" t="s">
        <v>7797</v>
      </c>
      <c r="C818" s="17">
        <v>9781265164676</v>
      </c>
      <c r="D818" s="17">
        <v>9781265164676</v>
      </c>
      <c r="E818" s="16" t="s">
        <v>7677</v>
      </c>
      <c r="F818" s="16" t="s">
        <v>17</v>
      </c>
      <c r="G818" s="16" t="s">
        <v>17</v>
      </c>
      <c r="H818" s="16" t="s">
        <v>17</v>
      </c>
      <c r="I818" s="16" t="s">
        <v>17</v>
      </c>
      <c r="J818" s="16" t="s">
        <v>17</v>
      </c>
      <c r="K818" s="16" t="s">
        <v>771</v>
      </c>
      <c r="L818" s="16" t="s">
        <v>7798</v>
      </c>
      <c r="M818" s="16" t="s">
        <v>7797</v>
      </c>
      <c r="N818" s="16" t="s">
        <v>17</v>
      </c>
      <c r="O818" s="16" t="s">
        <v>6921</v>
      </c>
      <c r="P818" s="16" t="s">
        <v>17</v>
      </c>
      <c r="Q818" s="16" t="s">
        <v>6922</v>
      </c>
      <c r="R818" s="16" t="s">
        <v>6923</v>
      </c>
      <c r="S818" s="16" t="s">
        <v>17</v>
      </c>
      <c r="T818" s="16" t="s">
        <v>7677</v>
      </c>
      <c r="U818" s="16" t="s">
        <v>17</v>
      </c>
      <c r="V818" s="16" t="s">
        <v>6929</v>
      </c>
      <c r="W818" s="16" t="s">
        <v>17</v>
      </c>
      <c r="X818" s="16" t="s">
        <v>7797</v>
      </c>
      <c r="Y818" s="16" t="s">
        <v>17</v>
      </c>
      <c r="Z818" s="16" t="s">
        <v>6926</v>
      </c>
    </row>
    <row r="819" spans="1:26" x14ac:dyDescent="0.3">
      <c r="A819" s="16">
        <v>818</v>
      </c>
      <c r="B819" s="16" t="s">
        <v>7783</v>
      </c>
      <c r="C819" s="17">
        <v>9781260464504</v>
      </c>
      <c r="D819" s="17">
        <v>9781260464504</v>
      </c>
      <c r="E819" s="16" t="s">
        <v>7784</v>
      </c>
      <c r="F819" s="16" t="s">
        <v>17</v>
      </c>
      <c r="G819" s="16" t="s">
        <v>17</v>
      </c>
      <c r="H819" s="16" t="s">
        <v>17</v>
      </c>
      <c r="I819" s="16" t="s">
        <v>17</v>
      </c>
      <c r="J819" s="16" t="s">
        <v>17</v>
      </c>
      <c r="K819" s="16" t="s">
        <v>761</v>
      </c>
      <c r="L819" s="16" t="s">
        <v>760</v>
      </c>
      <c r="M819" s="16" t="s">
        <v>7783</v>
      </c>
      <c r="N819" s="16" t="s">
        <v>17</v>
      </c>
      <c r="O819" s="16" t="s">
        <v>6921</v>
      </c>
      <c r="P819" s="16" t="s">
        <v>17</v>
      </c>
      <c r="Q819" s="16" t="s">
        <v>6922</v>
      </c>
      <c r="R819" s="16" t="s">
        <v>6923</v>
      </c>
      <c r="S819" s="16" t="s">
        <v>17</v>
      </c>
      <c r="T819" s="16" t="s">
        <v>7784</v>
      </c>
      <c r="U819" s="16" t="s">
        <v>17</v>
      </c>
      <c r="V819" s="16" t="s">
        <v>6929</v>
      </c>
      <c r="W819" s="16" t="s">
        <v>17</v>
      </c>
      <c r="X819" s="16" t="s">
        <v>7783</v>
      </c>
      <c r="Y819" s="16" t="s">
        <v>17</v>
      </c>
      <c r="Z819" s="16" t="s">
        <v>6926</v>
      </c>
    </row>
    <row r="820" spans="1:26" x14ac:dyDescent="0.3">
      <c r="A820" s="16">
        <v>819</v>
      </c>
      <c r="B820" s="16" t="s">
        <v>7551</v>
      </c>
      <c r="C820" s="17">
        <v>9780071377843</v>
      </c>
      <c r="D820" s="17">
        <v>9780071377843</v>
      </c>
      <c r="E820" s="16" t="s">
        <v>6920</v>
      </c>
      <c r="F820" s="16" t="s">
        <v>17</v>
      </c>
      <c r="G820" s="16" t="s">
        <v>17</v>
      </c>
      <c r="H820" s="16" t="s">
        <v>17</v>
      </c>
      <c r="I820" s="16" t="s">
        <v>17</v>
      </c>
      <c r="J820" s="16" t="s">
        <v>17</v>
      </c>
      <c r="K820" s="16" t="s">
        <v>545</v>
      </c>
      <c r="L820" s="16" t="s">
        <v>7552</v>
      </c>
      <c r="M820" s="16" t="s">
        <v>7551</v>
      </c>
      <c r="N820" s="16" t="s">
        <v>17</v>
      </c>
      <c r="O820" s="16" t="s">
        <v>6921</v>
      </c>
      <c r="P820" s="16" t="s">
        <v>17</v>
      </c>
      <c r="Q820" s="16" t="s">
        <v>6922</v>
      </c>
      <c r="R820" s="16" t="s">
        <v>6923</v>
      </c>
      <c r="S820" s="16" t="s">
        <v>17</v>
      </c>
      <c r="T820" s="16" t="s">
        <v>6920</v>
      </c>
      <c r="U820" s="16" t="s">
        <v>17</v>
      </c>
      <c r="V820" s="16" t="s">
        <v>6929</v>
      </c>
      <c r="W820" s="16" t="s">
        <v>17</v>
      </c>
      <c r="X820" s="16" t="s">
        <v>7551</v>
      </c>
      <c r="Y820" s="16" t="s">
        <v>17</v>
      </c>
      <c r="Z820" s="16" t="s">
        <v>6926</v>
      </c>
    </row>
    <row r="821" spans="1:26" x14ac:dyDescent="0.3">
      <c r="A821" s="16">
        <v>820</v>
      </c>
      <c r="B821" s="16" t="s">
        <v>7201</v>
      </c>
      <c r="C821" s="17">
        <v>9780071443296</v>
      </c>
      <c r="D821" s="17">
        <v>9780071443296</v>
      </c>
      <c r="E821" s="16" t="s">
        <v>6920</v>
      </c>
      <c r="F821" s="16" t="s">
        <v>17</v>
      </c>
      <c r="G821" s="16" t="s">
        <v>17</v>
      </c>
      <c r="H821" s="16" t="s">
        <v>17</v>
      </c>
      <c r="I821" s="16" t="s">
        <v>17</v>
      </c>
      <c r="J821" s="16" t="s">
        <v>17</v>
      </c>
      <c r="K821" s="16" t="s">
        <v>243</v>
      </c>
      <c r="L821" s="16" t="s">
        <v>242</v>
      </c>
      <c r="M821" s="16" t="s">
        <v>7201</v>
      </c>
      <c r="N821" s="16" t="s">
        <v>17</v>
      </c>
      <c r="O821" s="16" t="s">
        <v>6921</v>
      </c>
      <c r="P821" s="16" t="s">
        <v>17</v>
      </c>
      <c r="Q821" s="16" t="s">
        <v>6922</v>
      </c>
      <c r="R821" s="16" t="s">
        <v>6923</v>
      </c>
      <c r="S821" s="16" t="s">
        <v>17</v>
      </c>
      <c r="T821" s="16" t="s">
        <v>6920</v>
      </c>
      <c r="U821" s="16" t="s">
        <v>17</v>
      </c>
      <c r="V821" s="16" t="s">
        <v>6929</v>
      </c>
      <c r="W821" s="16" t="s">
        <v>17</v>
      </c>
      <c r="X821" s="16" t="s">
        <v>7201</v>
      </c>
      <c r="Y821" s="16" t="s">
        <v>17</v>
      </c>
      <c r="Z821" s="16" t="s">
        <v>6926</v>
      </c>
    </row>
    <row r="822" spans="1:26" x14ac:dyDescent="0.3">
      <c r="A822" s="16">
        <v>821</v>
      </c>
      <c r="B822" s="16" t="s">
        <v>7308</v>
      </c>
      <c r="C822" s="17">
        <v>9780071746793</v>
      </c>
      <c r="D822" s="17">
        <v>9780071746793</v>
      </c>
      <c r="E822" s="16" t="s">
        <v>7309</v>
      </c>
      <c r="F822" s="16" t="s">
        <v>17</v>
      </c>
      <c r="G822" s="16" t="s">
        <v>17</v>
      </c>
      <c r="H822" s="16" t="s">
        <v>17</v>
      </c>
      <c r="I822" s="16" t="s">
        <v>17</v>
      </c>
      <c r="J822" s="16" t="s">
        <v>17</v>
      </c>
      <c r="K822" s="16" t="s">
        <v>334</v>
      </c>
      <c r="L822" s="16" t="s">
        <v>333</v>
      </c>
      <c r="M822" s="16" t="s">
        <v>7308</v>
      </c>
      <c r="N822" s="16" t="s">
        <v>17</v>
      </c>
      <c r="O822" s="16" t="s">
        <v>6921</v>
      </c>
      <c r="P822" s="16" t="s">
        <v>17</v>
      </c>
      <c r="Q822" s="16" t="s">
        <v>6922</v>
      </c>
      <c r="R822" s="16" t="s">
        <v>6923</v>
      </c>
      <c r="S822" s="16" t="s">
        <v>17</v>
      </c>
      <c r="T822" s="16" t="s">
        <v>7309</v>
      </c>
      <c r="U822" s="16" t="s">
        <v>17</v>
      </c>
      <c r="V822" s="16" t="s">
        <v>6924</v>
      </c>
      <c r="W822" s="16" t="s">
        <v>17</v>
      </c>
      <c r="X822" s="16" t="s">
        <v>7308</v>
      </c>
      <c r="Y822" s="16" t="s">
        <v>17</v>
      </c>
      <c r="Z822" s="16" t="s">
        <v>6926</v>
      </c>
    </row>
    <row r="823" spans="1:26" x14ac:dyDescent="0.3">
      <c r="A823" s="16">
        <v>822</v>
      </c>
      <c r="B823" s="16" t="s">
        <v>1575</v>
      </c>
      <c r="C823" s="17">
        <v>9780071395113</v>
      </c>
      <c r="D823" s="17">
        <v>9780071395113</v>
      </c>
      <c r="E823" s="16" t="s">
        <v>6920</v>
      </c>
      <c r="F823" s="16" t="s">
        <v>17</v>
      </c>
      <c r="G823" s="16" t="s">
        <v>17</v>
      </c>
      <c r="H823" s="16" t="s">
        <v>17</v>
      </c>
      <c r="I823" s="16" t="s">
        <v>17</v>
      </c>
      <c r="J823" s="16" t="s">
        <v>17</v>
      </c>
      <c r="K823" s="16" t="s">
        <v>1576</v>
      </c>
      <c r="L823" s="16" t="s">
        <v>442</v>
      </c>
      <c r="M823" s="16" t="s">
        <v>1575</v>
      </c>
      <c r="N823" s="16" t="s">
        <v>17</v>
      </c>
      <c r="O823" s="16" t="s">
        <v>6921</v>
      </c>
      <c r="P823" s="16" t="s">
        <v>17</v>
      </c>
      <c r="Q823" s="16" t="s">
        <v>6922</v>
      </c>
      <c r="R823" s="16" t="s">
        <v>6923</v>
      </c>
      <c r="S823" s="16" t="s">
        <v>17</v>
      </c>
      <c r="T823" s="16" t="s">
        <v>6920</v>
      </c>
      <c r="U823" s="16" t="s">
        <v>17</v>
      </c>
      <c r="V823" s="16" t="s">
        <v>7049</v>
      </c>
      <c r="W823" s="16" t="s">
        <v>17</v>
      </c>
      <c r="X823" s="16" t="s">
        <v>1575</v>
      </c>
      <c r="Y823" s="16" t="s">
        <v>17</v>
      </c>
      <c r="Z823" s="16" t="s">
        <v>6926</v>
      </c>
    </row>
    <row r="824" spans="1:26" x14ac:dyDescent="0.3">
      <c r="A824" s="16">
        <v>823</v>
      </c>
      <c r="B824" s="16" t="s">
        <v>8321</v>
      </c>
      <c r="C824" s="17">
        <v>9780071838634</v>
      </c>
      <c r="D824" s="17">
        <v>9780071838634</v>
      </c>
      <c r="E824" s="16" t="s">
        <v>7124</v>
      </c>
      <c r="F824" s="16" t="s">
        <v>17</v>
      </c>
      <c r="G824" s="16" t="s">
        <v>17</v>
      </c>
      <c r="H824" s="16" t="s">
        <v>17</v>
      </c>
      <c r="I824" s="16" t="s">
        <v>17</v>
      </c>
      <c r="J824" s="16" t="s">
        <v>17</v>
      </c>
      <c r="K824" s="16" t="s">
        <v>1375</v>
      </c>
      <c r="L824" s="16" t="s">
        <v>163</v>
      </c>
      <c r="M824" s="16" t="s">
        <v>8321</v>
      </c>
      <c r="N824" s="16" t="s">
        <v>17</v>
      </c>
      <c r="O824" s="16" t="s">
        <v>6921</v>
      </c>
      <c r="P824" s="16" t="s">
        <v>17</v>
      </c>
      <c r="Q824" s="16" t="s">
        <v>6922</v>
      </c>
      <c r="R824" s="16" t="s">
        <v>6923</v>
      </c>
      <c r="S824" s="16" t="s">
        <v>17</v>
      </c>
      <c r="T824" s="16" t="s">
        <v>7124</v>
      </c>
      <c r="U824" s="16" t="s">
        <v>17</v>
      </c>
      <c r="V824" s="16" t="s">
        <v>6924</v>
      </c>
      <c r="W824" s="16" t="s">
        <v>17</v>
      </c>
      <c r="X824" s="16" t="s">
        <v>8321</v>
      </c>
      <c r="Y824" s="16" t="s">
        <v>17</v>
      </c>
      <c r="Z824" s="16" t="s">
        <v>6926</v>
      </c>
    </row>
    <row r="825" spans="1:26" x14ac:dyDescent="0.3">
      <c r="A825" s="16">
        <v>824</v>
      </c>
      <c r="B825" s="16" t="s">
        <v>8260</v>
      </c>
      <c r="C825" s="17">
        <v>9780071752442</v>
      </c>
      <c r="D825" s="17">
        <v>9780071752442</v>
      </c>
      <c r="E825" s="16" t="s">
        <v>7459</v>
      </c>
      <c r="F825" s="16" t="s">
        <v>17</v>
      </c>
      <c r="G825" s="16" t="s">
        <v>17</v>
      </c>
      <c r="H825" s="16" t="s">
        <v>17</v>
      </c>
      <c r="I825" s="16" t="s">
        <v>17</v>
      </c>
      <c r="J825" s="16" t="s">
        <v>17</v>
      </c>
      <c r="K825" s="16" t="s">
        <v>1333</v>
      </c>
      <c r="L825" s="16" t="s">
        <v>1332</v>
      </c>
      <c r="M825" s="16" t="s">
        <v>8260</v>
      </c>
      <c r="N825" s="16" t="s">
        <v>17</v>
      </c>
      <c r="O825" s="16" t="s">
        <v>6921</v>
      </c>
      <c r="P825" s="16" t="s">
        <v>17</v>
      </c>
      <c r="Q825" s="16" t="s">
        <v>6922</v>
      </c>
      <c r="R825" s="16" t="s">
        <v>6923</v>
      </c>
      <c r="S825" s="16" t="s">
        <v>17</v>
      </c>
      <c r="T825" s="16" t="s">
        <v>7459</v>
      </c>
      <c r="U825" s="16" t="s">
        <v>17</v>
      </c>
      <c r="V825" s="16" t="s">
        <v>6929</v>
      </c>
      <c r="W825" s="16" t="s">
        <v>17</v>
      </c>
      <c r="X825" s="16" t="s">
        <v>8260</v>
      </c>
      <c r="Y825" s="16" t="s">
        <v>17</v>
      </c>
      <c r="Z825" s="16" t="s">
        <v>6926</v>
      </c>
    </row>
    <row r="826" spans="1:26" x14ac:dyDescent="0.3">
      <c r="A826" s="16">
        <v>825</v>
      </c>
      <c r="B826" s="16" t="s">
        <v>8380</v>
      </c>
      <c r="C826" s="17">
        <v>9781260121827</v>
      </c>
      <c r="D826" s="17">
        <v>9781260121827</v>
      </c>
      <c r="E826" s="16" t="s">
        <v>7405</v>
      </c>
      <c r="F826" s="16" t="s">
        <v>17</v>
      </c>
      <c r="G826" s="16" t="s">
        <v>17</v>
      </c>
      <c r="H826" s="16" t="s">
        <v>17</v>
      </c>
      <c r="I826" s="16" t="s">
        <v>17</v>
      </c>
      <c r="J826" s="16" t="s">
        <v>17</v>
      </c>
      <c r="K826" s="16" t="s">
        <v>1537</v>
      </c>
      <c r="L826" s="16" t="s">
        <v>300</v>
      </c>
      <c r="M826" s="16" t="s">
        <v>8380</v>
      </c>
      <c r="N826" s="16" t="s">
        <v>17</v>
      </c>
      <c r="O826" s="16" t="s">
        <v>6921</v>
      </c>
      <c r="P826" s="16" t="s">
        <v>17</v>
      </c>
      <c r="Q826" s="16" t="s">
        <v>6922</v>
      </c>
      <c r="R826" s="16" t="s">
        <v>6923</v>
      </c>
      <c r="S826" s="16" t="s">
        <v>17</v>
      </c>
      <c r="T826" s="16" t="s">
        <v>7405</v>
      </c>
      <c r="U826" s="16" t="s">
        <v>17</v>
      </c>
      <c r="V826" s="16" t="s">
        <v>6944</v>
      </c>
      <c r="W826" s="16" t="s">
        <v>17</v>
      </c>
      <c r="X826" s="16" t="s">
        <v>8380</v>
      </c>
      <c r="Y826" s="16" t="s">
        <v>17</v>
      </c>
      <c r="Z826" s="16" t="s">
        <v>6926</v>
      </c>
    </row>
    <row r="827" spans="1:26" x14ac:dyDescent="0.3">
      <c r="A827" s="16">
        <v>826</v>
      </c>
      <c r="B827" s="16" t="s">
        <v>1428</v>
      </c>
      <c r="C827" s="17">
        <v>9780071840538</v>
      </c>
      <c r="D827" s="17">
        <v>9780071840538</v>
      </c>
      <c r="E827" s="16" t="s">
        <v>7063</v>
      </c>
      <c r="F827" s="16" t="s">
        <v>17</v>
      </c>
      <c r="G827" s="16" t="s">
        <v>17</v>
      </c>
      <c r="H827" s="16" t="s">
        <v>17</v>
      </c>
      <c r="I827" s="16" t="s">
        <v>17</v>
      </c>
      <c r="J827" s="16" t="s">
        <v>17</v>
      </c>
      <c r="K827" s="16" t="s">
        <v>1429</v>
      </c>
      <c r="L827" s="16" t="s">
        <v>300</v>
      </c>
      <c r="M827" s="16" t="s">
        <v>1428</v>
      </c>
      <c r="N827" s="16" t="s">
        <v>17</v>
      </c>
      <c r="O827" s="16" t="s">
        <v>6921</v>
      </c>
      <c r="P827" s="16" t="s">
        <v>17</v>
      </c>
      <c r="Q827" s="16" t="s">
        <v>6922</v>
      </c>
      <c r="R827" s="16" t="s">
        <v>6923</v>
      </c>
      <c r="S827" s="16" t="s">
        <v>17</v>
      </c>
      <c r="T827" s="16" t="s">
        <v>7063</v>
      </c>
      <c r="U827" s="16" t="s">
        <v>17</v>
      </c>
      <c r="V827" s="16" t="s">
        <v>7866</v>
      </c>
      <c r="W827" s="16" t="s">
        <v>17</v>
      </c>
      <c r="X827" s="16" t="s">
        <v>1428</v>
      </c>
      <c r="Y827" s="16" t="s">
        <v>17</v>
      </c>
      <c r="Z827" s="16" t="s">
        <v>6926</v>
      </c>
    </row>
    <row r="828" spans="1:26" x14ac:dyDescent="0.3">
      <c r="A828" s="16">
        <v>827</v>
      </c>
      <c r="B828" s="16" t="s">
        <v>7790</v>
      </c>
      <c r="C828" s="17">
        <v>9781265143992</v>
      </c>
      <c r="D828" s="17">
        <v>9781265143992</v>
      </c>
      <c r="E828" s="16" t="s">
        <v>7791</v>
      </c>
      <c r="F828" s="16" t="s">
        <v>17</v>
      </c>
      <c r="G828" s="16" t="s">
        <v>17</v>
      </c>
      <c r="H828" s="16" t="s">
        <v>17</v>
      </c>
      <c r="I828" s="16" t="s">
        <v>17</v>
      </c>
      <c r="J828" s="16" t="s">
        <v>17</v>
      </c>
      <c r="K828" s="16" t="s">
        <v>767</v>
      </c>
      <c r="L828" s="16" t="s">
        <v>300</v>
      </c>
      <c r="M828" s="16" t="s">
        <v>7790</v>
      </c>
      <c r="N828" s="16" t="s">
        <v>17</v>
      </c>
      <c r="O828" s="16" t="s">
        <v>6921</v>
      </c>
      <c r="P828" s="16" t="s">
        <v>17</v>
      </c>
      <c r="Q828" s="16" t="s">
        <v>6922</v>
      </c>
      <c r="R828" s="16" t="s">
        <v>6923</v>
      </c>
      <c r="S828" s="16" t="s">
        <v>17</v>
      </c>
      <c r="T828" s="16" t="s">
        <v>7791</v>
      </c>
      <c r="U828" s="16" t="s">
        <v>17</v>
      </c>
      <c r="V828" s="16" t="s">
        <v>7072</v>
      </c>
      <c r="W828" s="16" t="s">
        <v>17</v>
      </c>
      <c r="X828" s="16" t="s">
        <v>7790</v>
      </c>
      <c r="Y828" s="16" t="s">
        <v>17</v>
      </c>
      <c r="Z828" s="16" t="s">
        <v>6926</v>
      </c>
    </row>
    <row r="829" spans="1:26" x14ac:dyDescent="0.3">
      <c r="A829" s="16">
        <v>828</v>
      </c>
      <c r="B829" s="16" t="s">
        <v>1451</v>
      </c>
      <c r="C829" s="17">
        <v>9780071623384</v>
      </c>
      <c r="D829" s="17">
        <v>9780071623384</v>
      </c>
      <c r="E829" s="16" t="s">
        <v>8344</v>
      </c>
      <c r="F829" s="16" t="s">
        <v>17</v>
      </c>
      <c r="G829" s="16" t="s">
        <v>17</v>
      </c>
      <c r="H829" s="16" t="s">
        <v>17</v>
      </c>
      <c r="I829" s="16" t="s">
        <v>17</v>
      </c>
      <c r="J829" s="16" t="s">
        <v>17</v>
      </c>
      <c r="K829" s="16" t="s">
        <v>1452</v>
      </c>
      <c r="L829" s="16" t="s">
        <v>300</v>
      </c>
      <c r="M829" s="16" t="s">
        <v>1451</v>
      </c>
      <c r="N829" s="16" t="s">
        <v>17</v>
      </c>
      <c r="O829" s="16" t="s">
        <v>6921</v>
      </c>
      <c r="P829" s="16" t="s">
        <v>17</v>
      </c>
      <c r="Q829" s="16" t="s">
        <v>6922</v>
      </c>
      <c r="R829" s="16" t="s">
        <v>6923</v>
      </c>
      <c r="S829" s="16" t="s">
        <v>17</v>
      </c>
      <c r="T829" s="16" t="s">
        <v>8344</v>
      </c>
      <c r="U829" s="16" t="s">
        <v>17</v>
      </c>
      <c r="V829" s="16" t="s">
        <v>7826</v>
      </c>
      <c r="W829" s="16" t="s">
        <v>17</v>
      </c>
      <c r="X829" s="16" t="s">
        <v>1451</v>
      </c>
      <c r="Y829" s="16" t="s">
        <v>17</v>
      </c>
      <c r="Z829" s="16" t="s">
        <v>6926</v>
      </c>
    </row>
    <row r="830" spans="1:26" x14ac:dyDescent="0.3">
      <c r="A830" s="16">
        <v>829</v>
      </c>
      <c r="B830" s="16" t="s">
        <v>7681</v>
      </c>
      <c r="C830" s="17">
        <v>9780071454087</v>
      </c>
      <c r="D830" s="17">
        <v>9780071454087</v>
      </c>
      <c r="E830" s="16" t="s">
        <v>7033</v>
      </c>
      <c r="F830" s="16" t="s">
        <v>17</v>
      </c>
      <c r="G830" s="16" t="s">
        <v>17</v>
      </c>
      <c r="H830" s="16" t="s">
        <v>17</v>
      </c>
      <c r="I830" s="16" t="s">
        <v>17</v>
      </c>
      <c r="J830" s="16" t="s">
        <v>17</v>
      </c>
      <c r="K830" s="16" t="s">
        <v>673</v>
      </c>
      <c r="L830" s="16" t="s">
        <v>6982</v>
      </c>
      <c r="M830" s="16" t="s">
        <v>7681</v>
      </c>
      <c r="N830" s="16" t="s">
        <v>17</v>
      </c>
      <c r="O830" s="16" t="s">
        <v>6921</v>
      </c>
      <c r="P830" s="16" t="s">
        <v>17</v>
      </c>
      <c r="Q830" s="16" t="s">
        <v>6922</v>
      </c>
      <c r="R830" s="16" t="s">
        <v>6923</v>
      </c>
      <c r="S830" s="16" t="s">
        <v>17</v>
      </c>
      <c r="T830" s="16" t="s">
        <v>7033</v>
      </c>
      <c r="U830" s="16" t="s">
        <v>17</v>
      </c>
      <c r="V830" s="16" t="s">
        <v>6929</v>
      </c>
      <c r="W830" s="16" t="s">
        <v>17</v>
      </c>
      <c r="X830" s="16" t="s">
        <v>7681</v>
      </c>
      <c r="Y830" s="16" t="s">
        <v>17</v>
      </c>
      <c r="Z830" s="16" t="s">
        <v>6926</v>
      </c>
    </row>
    <row r="831" spans="1:26" x14ac:dyDescent="0.3">
      <c r="A831" s="16">
        <v>830</v>
      </c>
      <c r="B831" s="16" t="s">
        <v>6980</v>
      </c>
      <c r="C831" s="17">
        <v>9780071497329</v>
      </c>
      <c r="D831" s="17">
        <v>9780071497329</v>
      </c>
      <c r="E831" s="16" t="s">
        <v>6981</v>
      </c>
      <c r="F831" s="16" t="s">
        <v>17</v>
      </c>
      <c r="G831" s="16" t="s">
        <v>17</v>
      </c>
      <c r="H831" s="16" t="s">
        <v>17</v>
      </c>
      <c r="I831" s="16" t="s">
        <v>17</v>
      </c>
      <c r="J831" s="16" t="s">
        <v>17</v>
      </c>
      <c r="K831" s="16" t="s">
        <v>57</v>
      </c>
      <c r="L831" s="16" t="s">
        <v>6982</v>
      </c>
      <c r="M831" s="16" t="s">
        <v>6980</v>
      </c>
      <c r="N831" s="16" t="s">
        <v>17</v>
      </c>
      <c r="O831" s="16" t="s">
        <v>6921</v>
      </c>
      <c r="P831" s="16" t="s">
        <v>17</v>
      </c>
      <c r="Q831" s="16" t="s">
        <v>6922</v>
      </c>
      <c r="R831" s="16" t="s">
        <v>6923</v>
      </c>
      <c r="S831" s="16" t="s">
        <v>17</v>
      </c>
      <c r="T831" s="16" t="s">
        <v>6981</v>
      </c>
      <c r="U831" s="16" t="s">
        <v>17</v>
      </c>
      <c r="V831" s="16" t="s">
        <v>6924</v>
      </c>
      <c r="W831" s="16" t="s">
        <v>17</v>
      </c>
      <c r="X831" s="16" t="s">
        <v>6980</v>
      </c>
      <c r="Y831" s="16" t="s">
        <v>17</v>
      </c>
      <c r="Z831" s="16" t="s">
        <v>6926</v>
      </c>
    </row>
    <row r="832" spans="1:26" x14ac:dyDescent="0.3">
      <c r="A832" s="16">
        <v>831</v>
      </c>
      <c r="B832" s="16" t="s">
        <v>8281</v>
      </c>
      <c r="C832" s="17">
        <v>9781260460384</v>
      </c>
      <c r="D832" s="17">
        <v>9781260460384</v>
      </c>
      <c r="E832" s="16" t="s">
        <v>7632</v>
      </c>
      <c r="F832" s="16" t="s">
        <v>17</v>
      </c>
      <c r="G832" s="16" t="s">
        <v>17</v>
      </c>
      <c r="H832" s="16" t="s">
        <v>17</v>
      </c>
      <c r="I832" s="16" t="s">
        <v>17</v>
      </c>
      <c r="J832" s="16" t="s">
        <v>17</v>
      </c>
      <c r="K832" s="16" t="s">
        <v>1347</v>
      </c>
      <c r="L832" s="16" t="s">
        <v>8282</v>
      </c>
      <c r="M832" s="16" t="s">
        <v>8281</v>
      </c>
      <c r="N832" s="16" t="s">
        <v>17</v>
      </c>
      <c r="O832" s="16" t="s">
        <v>6921</v>
      </c>
      <c r="P832" s="16" t="s">
        <v>17</v>
      </c>
      <c r="Q832" s="16" t="s">
        <v>6922</v>
      </c>
      <c r="R832" s="16" t="s">
        <v>6923</v>
      </c>
      <c r="S832" s="16" t="s">
        <v>17</v>
      </c>
      <c r="T832" s="16" t="s">
        <v>7632</v>
      </c>
      <c r="U832" s="16" t="s">
        <v>17</v>
      </c>
      <c r="V832" s="16" t="s">
        <v>6929</v>
      </c>
      <c r="W832" s="16" t="s">
        <v>17</v>
      </c>
      <c r="X832" s="16" t="s">
        <v>8281</v>
      </c>
      <c r="Y832" s="16" t="s">
        <v>17</v>
      </c>
      <c r="Z832" s="16" t="s">
        <v>6926</v>
      </c>
    </row>
    <row r="833" spans="1:26" x14ac:dyDescent="0.3">
      <c r="A833" s="16">
        <v>832</v>
      </c>
      <c r="B833" s="16" t="s">
        <v>7056</v>
      </c>
      <c r="C833" s="17">
        <v>9780071356183</v>
      </c>
      <c r="D833" s="17">
        <v>9780071356183</v>
      </c>
      <c r="E833" s="16" t="s">
        <v>7057</v>
      </c>
      <c r="F833" s="16" t="s">
        <v>17</v>
      </c>
      <c r="G833" s="16" t="s">
        <v>17</v>
      </c>
      <c r="H833" s="16" t="s">
        <v>17</v>
      </c>
      <c r="I833" s="16" t="s">
        <v>17</v>
      </c>
      <c r="J833" s="16" t="s">
        <v>17</v>
      </c>
      <c r="K833" s="16" t="s">
        <v>119</v>
      </c>
      <c r="L833" s="16" t="s">
        <v>118</v>
      </c>
      <c r="M833" s="16" t="s">
        <v>7056</v>
      </c>
      <c r="N833" s="16" t="s">
        <v>17</v>
      </c>
      <c r="O833" s="16" t="s">
        <v>6921</v>
      </c>
      <c r="P833" s="16" t="s">
        <v>17</v>
      </c>
      <c r="Q833" s="16" t="s">
        <v>6922</v>
      </c>
      <c r="R833" s="16" t="s">
        <v>6923</v>
      </c>
      <c r="S833" s="16" t="s">
        <v>17</v>
      </c>
      <c r="T833" s="16" t="s">
        <v>7057</v>
      </c>
      <c r="U833" s="16" t="s">
        <v>17</v>
      </c>
      <c r="V833" s="16" t="s">
        <v>6929</v>
      </c>
      <c r="W833" s="16" t="s">
        <v>17</v>
      </c>
      <c r="X833" s="16" t="s">
        <v>7056</v>
      </c>
      <c r="Y833" s="16" t="s">
        <v>17</v>
      </c>
      <c r="Z833" s="16" t="s">
        <v>6926</v>
      </c>
    </row>
    <row r="834" spans="1:26" x14ac:dyDescent="0.3">
      <c r="A834" s="16">
        <v>833</v>
      </c>
      <c r="B834" s="16" t="s">
        <v>7983</v>
      </c>
      <c r="C834" s="17">
        <v>9781260452792</v>
      </c>
      <c r="D834" s="17">
        <v>9781260452792</v>
      </c>
      <c r="E834" s="16" t="s">
        <v>7984</v>
      </c>
      <c r="F834" s="16" t="s">
        <v>17</v>
      </c>
      <c r="G834" s="16" t="s">
        <v>17</v>
      </c>
      <c r="H834" s="16" t="s">
        <v>17</v>
      </c>
      <c r="I834" s="16" t="s">
        <v>17</v>
      </c>
      <c r="J834" s="16" t="s">
        <v>17</v>
      </c>
      <c r="K834" s="16" t="s">
        <v>1024</v>
      </c>
      <c r="L834" s="16" t="s">
        <v>1023</v>
      </c>
      <c r="M834" s="16" t="s">
        <v>7983</v>
      </c>
      <c r="N834" s="16" t="s">
        <v>17</v>
      </c>
      <c r="O834" s="16" t="s">
        <v>6921</v>
      </c>
      <c r="P834" s="16" t="s">
        <v>17</v>
      </c>
      <c r="Q834" s="16" t="s">
        <v>6922</v>
      </c>
      <c r="R834" s="16" t="s">
        <v>6923</v>
      </c>
      <c r="S834" s="16" t="s">
        <v>17</v>
      </c>
      <c r="T834" s="16" t="s">
        <v>7984</v>
      </c>
      <c r="U834" s="16" t="s">
        <v>17</v>
      </c>
      <c r="V834" s="16" t="s">
        <v>6924</v>
      </c>
      <c r="W834" s="16" t="s">
        <v>17</v>
      </c>
      <c r="X834" s="16" t="s">
        <v>7983</v>
      </c>
      <c r="Y834" s="16" t="s">
        <v>17</v>
      </c>
      <c r="Z834" s="16" t="s">
        <v>6926</v>
      </c>
    </row>
    <row r="835" spans="1:26" x14ac:dyDescent="0.3">
      <c r="A835" s="16">
        <v>834</v>
      </c>
      <c r="B835" s="16" t="s">
        <v>7102</v>
      </c>
      <c r="C835" s="17">
        <v>9780071822381</v>
      </c>
      <c r="D835" s="17">
        <v>9780071822381</v>
      </c>
      <c r="E835" s="16" t="s">
        <v>6976</v>
      </c>
      <c r="F835" s="16" t="s">
        <v>17</v>
      </c>
      <c r="G835" s="16" t="s">
        <v>17</v>
      </c>
      <c r="H835" s="16" t="s">
        <v>17</v>
      </c>
      <c r="I835" s="16" t="s">
        <v>17</v>
      </c>
      <c r="J835" s="16" t="s">
        <v>17</v>
      </c>
      <c r="K835" s="16" t="s">
        <v>162</v>
      </c>
      <c r="L835" s="16" t="s">
        <v>7103</v>
      </c>
      <c r="M835" s="16" t="s">
        <v>7102</v>
      </c>
      <c r="N835" s="16" t="s">
        <v>17</v>
      </c>
      <c r="O835" s="16" t="s">
        <v>6921</v>
      </c>
      <c r="P835" s="16" t="s">
        <v>17</v>
      </c>
      <c r="Q835" s="16" t="s">
        <v>6922</v>
      </c>
      <c r="R835" s="16" t="s">
        <v>6923</v>
      </c>
      <c r="S835" s="16" t="s">
        <v>17</v>
      </c>
      <c r="T835" s="16" t="s">
        <v>6976</v>
      </c>
      <c r="U835" s="16" t="s">
        <v>17</v>
      </c>
      <c r="V835" s="16" t="s">
        <v>6924</v>
      </c>
      <c r="W835" s="16" t="s">
        <v>17</v>
      </c>
      <c r="X835" s="16" t="s">
        <v>7102</v>
      </c>
      <c r="Y835" s="16" t="s">
        <v>17</v>
      </c>
      <c r="Z835" s="16" t="s">
        <v>6926</v>
      </c>
    </row>
    <row r="836" spans="1:26" x14ac:dyDescent="0.3">
      <c r="A836" s="16">
        <v>835</v>
      </c>
      <c r="B836" s="16" t="s">
        <v>8165</v>
      </c>
      <c r="C836" s="17">
        <v>9780071787741</v>
      </c>
      <c r="D836" s="17">
        <v>9780071787741</v>
      </c>
      <c r="E836" s="16" t="s">
        <v>7777</v>
      </c>
      <c r="F836" s="16" t="s">
        <v>17</v>
      </c>
      <c r="G836" s="16" t="s">
        <v>17</v>
      </c>
      <c r="H836" s="16" t="s">
        <v>17</v>
      </c>
      <c r="I836" s="16" t="s">
        <v>17</v>
      </c>
      <c r="J836" s="16" t="s">
        <v>17</v>
      </c>
      <c r="K836" s="16" t="s">
        <v>1250</v>
      </c>
      <c r="L836" s="16" t="s">
        <v>17</v>
      </c>
      <c r="M836" s="16" t="s">
        <v>8165</v>
      </c>
      <c r="N836" s="16" t="s">
        <v>17</v>
      </c>
      <c r="O836" s="16" t="s">
        <v>6921</v>
      </c>
      <c r="P836" s="16" t="s">
        <v>17</v>
      </c>
      <c r="Q836" s="16" t="s">
        <v>6922</v>
      </c>
      <c r="R836" s="16" t="s">
        <v>6923</v>
      </c>
      <c r="S836" s="16" t="s">
        <v>17</v>
      </c>
      <c r="T836" s="16" t="s">
        <v>7777</v>
      </c>
      <c r="U836" s="16" t="s">
        <v>17</v>
      </c>
      <c r="V836" s="16" t="s">
        <v>6929</v>
      </c>
      <c r="W836" s="16" t="s">
        <v>7878</v>
      </c>
      <c r="X836" s="16" t="s">
        <v>8165</v>
      </c>
      <c r="Y836" s="16" t="s">
        <v>17</v>
      </c>
      <c r="Z836" s="16" t="s">
        <v>6926</v>
      </c>
    </row>
    <row r="837" spans="1:26" x14ac:dyDescent="0.3">
      <c r="A837" s="16">
        <v>836</v>
      </c>
      <c r="B837" s="16" t="s">
        <v>7924</v>
      </c>
      <c r="C837" s="17">
        <v>9780071604710</v>
      </c>
      <c r="D837" s="17">
        <v>9780071604710</v>
      </c>
      <c r="E837" s="16" t="s">
        <v>6920</v>
      </c>
      <c r="F837" s="16" t="s">
        <v>17</v>
      </c>
      <c r="G837" s="16" t="s">
        <v>17</v>
      </c>
      <c r="H837" s="16" t="s">
        <v>17</v>
      </c>
      <c r="I837" s="16" t="s">
        <v>17</v>
      </c>
      <c r="J837" s="16" t="s">
        <v>17</v>
      </c>
      <c r="K837" s="16" t="s">
        <v>940</v>
      </c>
      <c r="L837" s="16" t="s">
        <v>7925</v>
      </c>
      <c r="M837" s="16" t="s">
        <v>7924</v>
      </c>
      <c r="N837" s="16" t="s">
        <v>17</v>
      </c>
      <c r="O837" s="16" t="s">
        <v>6921</v>
      </c>
      <c r="P837" s="16" t="s">
        <v>17</v>
      </c>
      <c r="Q837" s="16" t="s">
        <v>6922</v>
      </c>
      <c r="R837" s="16" t="s">
        <v>6923</v>
      </c>
      <c r="S837" s="16" t="s">
        <v>17</v>
      </c>
      <c r="T837" s="16" t="s">
        <v>6920</v>
      </c>
      <c r="U837" s="16" t="s">
        <v>17</v>
      </c>
      <c r="V837" s="16" t="s">
        <v>6929</v>
      </c>
      <c r="W837" s="16" t="s">
        <v>17</v>
      </c>
      <c r="X837" s="16" t="s">
        <v>7924</v>
      </c>
      <c r="Y837" s="16" t="s">
        <v>17</v>
      </c>
      <c r="Z837" s="16" t="s">
        <v>6926</v>
      </c>
    </row>
    <row r="838" spans="1:26" x14ac:dyDescent="0.3">
      <c r="A838" s="16">
        <v>837</v>
      </c>
      <c r="B838" s="16" t="s">
        <v>330</v>
      </c>
      <c r="C838" s="17">
        <v>9780071605526</v>
      </c>
      <c r="D838" s="17">
        <v>9780071605526</v>
      </c>
      <c r="E838" s="16" t="s">
        <v>6920</v>
      </c>
      <c r="F838" s="16" t="s">
        <v>17</v>
      </c>
      <c r="G838" s="16" t="s">
        <v>17</v>
      </c>
      <c r="H838" s="16" t="s">
        <v>17</v>
      </c>
      <c r="I838" s="16" t="s">
        <v>17</v>
      </c>
      <c r="J838" s="16" t="s">
        <v>17</v>
      </c>
      <c r="K838" s="16" t="s">
        <v>332</v>
      </c>
      <c r="L838" s="16" t="s">
        <v>331</v>
      </c>
      <c r="M838" s="16" t="s">
        <v>330</v>
      </c>
      <c r="N838" s="16" t="s">
        <v>17</v>
      </c>
      <c r="O838" s="16" t="s">
        <v>6921</v>
      </c>
      <c r="P838" s="16" t="s">
        <v>17</v>
      </c>
      <c r="Q838" s="16" t="s">
        <v>6922</v>
      </c>
      <c r="R838" s="16" t="s">
        <v>6923</v>
      </c>
      <c r="S838" s="16" t="s">
        <v>17</v>
      </c>
      <c r="T838" s="16" t="s">
        <v>6920</v>
      </c>
      <c r="U838" s="16" t="s">
        <v>17</v>
      </c>
      <c r="V838" s="16" t="s">
        <v>7049</v>
      </c>
      <c r="W838" s="16" t="s">
        <v>17</v>
      </c>
      <c r="X838" s="16" t="s">
        <v>330</v>
      </c>
      <c r="Y838" s="16" t="s">
        <v>17</v>
      </c>
      <c r="Z838" s="16" t="s">
        <v>6926</v>
      </c>
    </row>
    <row r="839" spans="1:26" x14ac:dyDescent="0.3">
      <c r="A839" s="16">
        <v>838</v>
      </c>
      <c r="B839" s="16" t="s">
        <v>1420</v>
      </c>
      <c r="C839" s="17">
        <v>9780071605472</v>
      </c>
      <c r="D839" s="17">
        <v>9780071605472</v>
      </c>
      <c r="E839" s="16" t="s">
        <v>6920</v>
      </c>
      <c r="F839" s="16" t="s">
        <v>17</v>
      </c>
      <c r="G839" s="16" t="s">
        <v>17</v>
      </c>
      <c r="H839" s="16" t="s">
        <v>17</v>
      </c>
      <c r="I839" s="16" t="s">
        <v>17</v>
      </c>
      <c r="J839" s="16" t="s">
        <v>17</v>
      </c>
      <c r="K839" s="16" t="s">
        <v>1422</v>
      </c>
      <c r="L839" s="16" t="s">
        <v>1421</v>
      </c>
      <c r="M839" s="16" t="s">
        <v>1420</v>
      </c>
      <c r="N839" s="16" t="s">
        <v>17</v>
      </c>
      <c r="O839" s="16" t="s">
        <v>6921</v>
      </c>
      <c r="P839" s="16" t="s">
        <v>17</v>
      </c>
      <c r="Q839" s="16" t="s">
        <v>6922</v>
      </c>
      <c r="R839" s="16" t="s">
        <v>6923</v>
      </c>
      <c r="S839" s="16" t="s">
        <v>17</v>
      </c>
      <c r="T839" s="16" t="s">
        <v>6920</v>
      </c>
      <c r="U839" s="16" t="s">
        <v>17</v>
      </c>
      <c r="V839" s="16" t="s">
        <v>7049</v>
      </c>
      <c r="W839" s="16" t="s">
        <v>17</v>
      </c>
      <c r="X839" s="16" t="s">
        <v>1420</v>
      </c>
      <c r="Y839" s="16" t="s">
        <v>17</v>
      </c>
      <c r="Z839" s="16" t="s">
        <v>6926</v>
      </c>
    </row>
    <row r="840" spans="1:26" x14ac:dyDescent="0.3">
      <c r="A840" s="16">
        <v>839</v>
      </c>
      <c r="B840" s="16" t="s">
        <v>1469</v>
      </c>
      <c r="C840" s="17">
        <v>9780071621618</v>
      </c>
      <c r="D840" s="17">
        <v>9780071621618</v>
      </c>
      <c r="E840" s="16" t="s">
        <v>6920</v>
      </c>
      <c r="F840" s="16" t="s">
        <v>17</v>
      </c>
      <c r="G840" s="16" t="s">
        <v>17</v>
      </c>
      <c r="H840" s="16" t="s">
        <v>17</v>
      </c>
      <c r="I840" s="16" t="s">
        <v>17</v>
      </c>
      <c r="J840" s="16" t="s">
        <v>17</v>
      </c>
      <c r="K840" s="16" t="s">
        <v>1470</v>
      </c>
      <c r="L840" s="16" t="s">
        <v>987</v>
      </c>
      <c r="M840" s="16" t="s">
        <v>1469</v>
      </c>
      <c r="N840" s="16" t="s">
        <v>17</v>
      </c>
      <c r="O840" s="16" t="s">
        <v>6921</v>
      </c>
      <c r="P840" s="16" t="s">
        <v>17</v>
      </c>
      <c r="Q840" s="16" t="s">
        <v>6922</v>
      </c>
      <c r="R840" s="16" t="s">
        <v>6923</v>
      </c>
      <c r="S840" s="16" t="s">
        <v>17</v>
      </c>
      <c r="T840" s="16" t="s">
        <v>6920</v>
      </c>
      <c r="U840" s="16" t="s">
        <v>17</v>
      </c>
      <c r="V840" s="16" t="s">
        <v>7049</v>
      </c>
      <c r="W840" s="16" t="s">
        <v>17</v>
      </c>
      <c r="X840" s="16" t="s">
        <v>1469</v>
      </c>
      <c r="Y840" s="16" t="s">
        <v>17</v>
      </c>
      <c r="Z840" s="16" t="s">
        <v>6926</v>
      </c>
    </row>
    <row r="841" spans="1:26" x14ac:dyDescent="0.3">
      <c r="A841" s="16">
        <v>840</v>
      </c>
      <c r="B841" s="16" t="s">
        <v>7508</v>
      </c>
      <c r="C841" s="17">
        <v>9781260468489</v>
      </c>
      <c r="D841" s="17">
        <v>9781260468489</v>
      </c>
      <c r="E841" s="16" t="s">
        <v>7509</v>
      </c>
      <c r="F841" s="16" t="s">
        <v>17</v>
      </c>
      <c r="G841" s="16" t="s">
        <v>17</v>
      </c>
      <c r="H841" s="16" t="s">
        <v>17</v>
      </c>
      <c r="I841" s="16" t="s">
        <v>17</v>
      </c>
      <c r="J841" s="16" t="s">
        <v>17</v>
      </c>
      <c r="K841" s="16" t="s">
        <v>515</v>
      </c>
      <c r="L841" s="16" t="s">
        <v>7510</v>
      </c>
      <c r="M841" s="16" t="s">
        <v>7508</v>
      </c>
      <c r="N841" s="16" t="s">
        <v>17</v>
      </c>
      <c r="O841" s="16" t="s">
        <v>6921</v>
      </c>
      <c r="P841" s="16" t="s">
        <v>17</v>
      </c>
      <c r="Q841" s="16" t="s">
        <v>6922</v>
      </c>
      <c r="R841" s="16" t="s">
        <v>6923</v>
      </c>
      <c r="S841" s="16" t="s">
        <v>17</v>
      </c>
      <c r="T841" s="16" t="s">
        <v>7509</v>
      </c>
      <c r="U841" s="16" t="s">
        <v>17</v>
      </c>
      <c r="V841" s="16" t="s">
        <v>6929</v>
      </c>
      <c r="W841" s="16" t="s">
        <v>17</v>
      </c>
      <c r="X841" s="16" t="s">
        <v>7508</v>
      </c>
      <c r="Y841" s="16" t="s">
        <v>17</v>
      </c>
      <c r="Z841" s="16" t="s">
        <v>6926</v>
      </c>
    </row>
    <row r="842" spans="1:26" x14ac:dyDescent="0.3">
      <c r="A842" s="16">
        <v>841</v>
      </c>
      <c r="B842" s="16" t="s">
        <v>7626</v>
      </c>
      <c r="C842" s="17">
        <v>9780071701266</v>
      </c>
      <c r="D842" s="17">
        <v>9780071701266</v>
      </c>
      <c r="E842" s="16" t="s">
        <v>7627</v>
      </c>
      <c r="F842" s="16" t="s">
        <v>17</v>
      </c>
      <c r="G842" s="16" t="s">
        <v>17</v>
      </c>
      <c r="H842" s="16" t="s">
        <v>17</v>
      </c>
      <c r="I842" s="16" t="s">
        <v>17</v>
      </c>
      <c r="J842" s="16" t="s">
        <v>17</v>
      </c>
      <c r="K842" s="16" t="s">
        <v>620</v>
      </c>
      <c r="L842" s="16" t="s">
        <v>619</v>
      </c>
      <c r="M842" s="16" t="s">
        <v>7626</v>
      </c>
      <c r="N842" s="16" t="s">
        <v>17</v>
      </c>
      <c r="O842" s="16" t="s">
        <v>6921</v>
      </c>
      <c r="P842" s="16" t="s">
        <v>17</v>
      </c>
      <c r="Q842" s="16" t="s">
        <v>6922</v>
      </c>
      <c r="R842" s="16" t="s">
        <v>6923</v>
      </c>
      <c r="S842" s="16" t="s">
        <v>17</v>
      </c>
      <c r="T842" s="16" t="s">
        <v>7627</v>
      </c>
      <c r="U842" s="16" t="s">
        <v>17</v>
      </c>
      <c r="V842" s="16" t="s">
        <v>6929</v>
      </c>
      <c r="W842" s="16" t="s">
        <v>17</v>
      </c>
      <c r="X842" s="16" t="s">
        <v>7626</v>
      </c>
      <c r="Y842" s="16" t="s">
        <v>17</v>
      </c>
      <c r="Z842" s="16" t="s">
        <v>6926</v>
      </c>
    </row>
    <row r="843" spans="1:26" x14ac:dyDescent="0.3">
      <c r="A843" s="16">
        <v>842</v>
      </c>
      <c r="B843" s="16" t="s">
        <v>7820</v>
      </c>
      <c r="C843" s="17">
        <v>9780071485630</v>
      </c>
      <c r="D843" s="17">
        <v>9780071485630</v>
      </c>
      <c r="E843" s="16" t="s">
        <v>6920</v>
      </c>
      <c r="F843" s="16" t="s">
        <v>17</v>
      </c>
      <c r="G843" s="16" t="s">
        <v>17</v>
      </c>
      <c r="H843" s="16" t="s">
        <v>17</v>
      </c>
      <c r="I843" s="16" t="s">
        <v>17</v>
      </c>
      <c r="J843" s="16" t="s">
        <v>17</v>
      </c>
      <c r="K843" s="16" t="s">
        <v>795</v>
      </c>
      <c r="L843" s="16" t="s">
        <v>22</v>
      </c>
      <c r="M843" s="16" t="s">
        <v>7820</v>
      </c>
      <c r="N843" s="16" t="s">
        <v>17</v>
      </c>
      <c r="O843" s="16" t="s">
        <v>6921</v>
      </c>
      <c r="P843" s="16" t="s">
        <v>17</v>
      </c>
      <c r="Q843" s="16" t="s">
        <v>6922</v>
      </c>
      <c r="R843" s="16" t="s">
        <v>6923</v>
      </c>
      <c r="S843" s="16" t="s">
        <v>17</v>
      </c>
      <c r="T843" s="16" t="s">
        <v>6920</v>
      </c>
      <c r="U843" s="16" t="s">
        <v>17</v>
      </c>
      <c r="V843" s="16" t="s">
        <v>6929</v>
      </c>
      <c r="W843" s="16" t="s">
        <v>17</v>
      </c>
      <c r="X843" s="16" t="s">
        <v>7820</v>
      </c>
      <c r="Y843" s="16" t="s">
        <v>17</v>
      </c>
      <c r="Z843" s="16" t="s">
        <v>6926</v>
      </c>
    </row>
    <row r="844" spans="1:26" x14ac:dyDescent="0.3">
      <c r="A844" s="16">
        <v>843</v>
      </c>
      <c r="B844" s="16" t="s">
        <v>7174</v>
      </c>
      <c r="C844" s="17">
        <v>9780071605243</v>
      </c>
      <c r="D844" s="17">
        <v>9780071605243</v>
      </c>
      <c r="E844" s="16" t="s">
        <v>6920</v>
      </c>
      <c r="F844" s="16" t="s">
        <v>17</v>
      </c>
      <c r="G844" s="16" t="s">
        <v>17</v>
      </c>
      <c r="H844" s="16" t="s">
        <v>17</v>
      </c>
      <c r="I844" s="16" t="s">
        <v>17</v>
      </c>
      <c r="J844" s="16" t="s">
        <v>17</v>
      </c>
      <c r="K844" s="16" t="s">
        <v>223</v>
      </c>
      <c r="L844" s="16" t="s">
        <v>7175</v>
      </c>
      <c r="M844" s="16" t="s">
        <v>7174</v>
      </c>
      <c r="N844" s="16" t="s">
        <v>17</v>
      </c>
      <c r="O844" s="16" t="s">
        <v>6921</v>
      </c>
      <c r="P844" s="16" t="s">
        <v>17</v>
      </c>
      <c r="Q844" s="16" t="s">
        <v>6922</v>
      </c>
      <c r="R844" s="16" t="s">
        <v>6923</v>
      </c>
      <c r="S844" s="16" t="s">
        <v>17</v>
      </c>
      <c r="T844" s="16" t="s">
        <v>6920</v>
      </c>
      <c r="U844" s="16" t="s">
        <v>17</v>
      </c>
      <c r="V844" s="16" t="s">
        <v>6929</v>
      </c>
      <c r="W844" s="16" t="s">
        <v>17</v>
      </c>
      <c r="X844" s="16" t="s">
        <v>7174</v>
      </c>
      <c r="Y844" s="16" t="s">
        <v>17</v>
      </c>
      <c r="Z844" s="16" t="s">
        <v>6926</v>
      </c>
    </row>
    <row r="845" spans="1:26" x14ac:dyDescent="0.3">
      <c r="A845" s="16">
        <v>844</v>
      </c>
      <c r="B845" s="16" t="s">
        <v>8350</v>
      </c>
      <c r="C845" s="17">
        <v>9780071382151</v>
      </c>
      <c r="D845" s="17">
        <v>9780071382151</v>
      </c>
      <c r="E845" s="16" t="s">
        <v>6920</v>
      </c>
      <c r="F845" s="16" t="s">
        <v>17</v>
      </c>
      <c r="G845" s="16" t="s">
        <v>17</v>
      </c>
      <c r="H845" s="16" t="s">
        <v>17</v>
      </c>
      <c r="I845" s="16" t="s">
        <v>17</v>
      </c>
      <c r="J845" s="16" t="s">
        <v>17</v>
      </c>
      <c r="K845" s="16" t="s">
        <v>1466</v>
      </c>
      <c r="L845" s="16" t="s">
        <v>1465</v>
      </c>
      <c r="M845" s="16" t="s">
        <v>8350</v>
      </c>
      <c r="N845" s="16" t="s">
        <v>17</v>
      </c>
      <c r="O845" s="16" t="s">
        <v>6921</v>
      </c>
      <c r="P845" s="16" t="s">
        <v>17</v>
      </c>
      <c r="Q845" s="16" t="s">
        <v>6922</v>
      </c>
      <c r="R845" s="16" t="s">
        <v>6923</v>
      </c>
      <c r="S845" s="16" t="s">
        <v>17</v>
      </c>
      <c r="T845" s="16" t="s">
        <v>6920</v>
      </c>
      <c r="U845" s="16" t="s">
        <v>17</v>
      </c>
      <c r="V845" s="16" t="s">
        <v>8351</v>
      </c>
      <c r="W845" s="16" t="s">
        <v>17</v>
      </c>
      <c r="X845" s="16" t="s">
        <v>8350</v>
      </c>
      <c r="Y845" s="16" t="s">
        <v>17</v>
      </c>
      <c r="Z845" s="16" t="s">
        <v>6926</v>
      </c>
    </row>
    <row r="846" spans="1:26" x14ac:dyDescent="0.3">
      <c r="A846" s="16">
        <v>845</v>
      </c>
      <c r="B846" s="16" t="s">
        <v>7771</v>
      </c>
      <c r="C846" s="17">
        <v>9781264259144</v>
      </c>
      <c r="D846" s="17">
        <v>9781264259144</v>
      </c>
      <c r="E846" s="16" t="s">
        <v>7772</v>
      </c>
      <c r="F846" s="16" t="s">
        <v>17</v>
      </c>
      <c r="G846" s="16" t="s">
        <v>17</v>
      </c>
      <c r="H846" s="16" t="s">
        <v>17</v>
      </c>
      <c r="I846" s="16" t="s">
        <v>17</v>
      </c>
      <c r="J846" s="16" t="s">
        <v>17</v>
      </c>
      <c r="K846" s="16" t="s">
        <v>750</v>
      </c>
      <c r="L846" s="16" t="s">
        <v>7424</v>
      </c>
      <c r="M846" s="16" t="s">
        <v>7771</v>
      </c>
      <c r="N846" s="16" t="s">
        <v>17</v>
      </c>
      <c r="O846" s="16" t="s">
        <v>6921</v>
      </c>
      <c r="P846" s="16" t="s">
        <v>17</v>
      </c>
      <c r="Q846" s="16" t="s">
        <v>6922</v>
      </c>
      <c r="R846" s="16" t="s">
        <v>6923</v>
      </c>
      <c r="S846" s="16" t="s">
        <v>17</v>
      </c>
      <c r="T846" s="16" t="s">
        <v>7772</v>
      </c>
      <c r="U846" s="16" t="s">
        <v>17</v>
      </c>
      <c r="V846" s="16" t="s">
        <v>6929</v>
      </c>
      <c r="W846" s="16" t="s">
        <v>17</v>
      </c>
      <c r="X846" s="16" t="s">
        <v>7771</v>
      </c>
      <c r="Y846" s="16" t="s">
        <v>17</v>
      </c>
      <c r="Z846" s="16" t="s">
        <v>6926</v>
      </c>
    </row>
    <row r="847" spans="1:26" x14ac:dyDescent="0.3">
      <c r="A847" s="16">
        <v>846</v>
      </c>
      <c r="B847" s="16" t="s">
        <v>7682</v>
      </c>
      <c r="C847" s="17">
        <v>9781260468922</v>
      </c>
      <c r="D847" s="17">
        <v>9781260468922</v>
      </c>
      <c r="E847" s="16" t="s">
        <v>7683</v>
      </c>
      <c r="F847" s="16" t="s">
        <v>17</v>
      </c>
      <c r="G847" s="16" t="s">
        <v>17</v>
      </c>
      <c r="H847" s="16" t="s">
        <v>17</v>
      </c>
      <c r="I847" s="16" t="s">
        <v>17</v>
      </c>
      <c r="J847" s="16" t="s">
        <v>17</v>
      </c>
      <c r="K847" s="16" t="s">
        <v>675</v>
      </c>
      <c r="L847" s="16" t="s">
        <v>674</v>
      </c>
      <c r="M847" s="16" t="s">
        <v>7682</v>
      </c>
      <c r="N847" s="16" t="s">
        <v>17</v>
      </c>
      <c r="O847" s="16" t="s">
        <v>6921</v>
      </c>
      <c r="P847" s="16" t="s">
        <v>17</v>
      </c>
      <c r="Q847" s="16" t="s">
        <v>6922</v>
      </c>
      <c r="R847" s="16" t="s">
        <v>6923</v>
      </c>
      <c r="S847" s="16" t="s">
        <v>17</v>
      </c>
      <c r="T847" s="16" t="s">
        <v>7683</v>
      </c>
      <c r="U847" s="16" t="s">
        <v>17</v>
      </c>
      <c r="V847" s="16" t="s">
        <v>7027</v>
      </c>
      <c r="W847" s="16" t="s">
        <v>17</v>
      </c>
      <c r="X847" s="16" t="s">
        <v>7682</v>
      </c>
      <c r="Y847" s="16" t="s">
        <v>17</v>
      </c>
      <c r="Z847" s="16" t="s">
        <v>6926</v>
      </c>
    </row>
    <row r="848" spans="1:26" x14ac:dyDescent="0.3">
      <c r="A848" s="16">
        <v>847</v>
      </c>
      <c r="B848" s="16" t="s">
        <v>979</v>
      </c>
      <c r="C848" s="17">
        <v>9780071826792</v>
      </c>
      <c r="D848" s="17">
        <v>9780071826792</v>
      </c>
      <c r="E848" s="16" t="s">
        <v>7216</v>
      </c>
      <c r="F848" s="16" t="s">
        <v>17</v>
      </c>
      <c r="G848" s="16" t="s">
        <v>17</v>
      </c>
      <c r="H848" s="16" t="s">
        <v>17</v>
      </c>
      <c r="I848" s="16" t="s">
        <v>17</v>
      </c>
      <c r="J848" s="16" t="s">
        <v>17</v>
      </c>
      <c r="K848" s="16" t="s">
        <v>981</v>
      </c>
      <c r="L848" s="16" t="s">
        <v>980</v>
      </c>
      <c r="M848" s="16" t="s">
        <v>979</v>
      </c>
      <c r="N848" s="16" t="s">
        <v>17</v>
      </c>
      <c r="O848" s="16" t="s">
        <v>6921</v>
      </c>
      <c r="P848" s="16" t="s">
        <v>17</v>
      </c>
      <c r="Q848" s="16" t="s">
        <v>6922</v>
      </c>
      <c r="R848" s="16" t="s">
        <v>6923</v>
      </c>
      <c r="S848" s="16" t="s">
        <v>17</v>
      </c>
      <c r="T848" s="16" t="s">
        <v>7216</v>
      </c>
      <c r="U848" s="16" t="s">
        <v>17</v>
      </c>
      <c r="V848" s="16" t="s">
        <v>7830</v>
      </c>
      <c r="W848" s="16" t="s">
        <v>17</v>
      </c>
      <c r="X848" s="16" t="s">
        <v>979</v>
      </c>
      <c r="Y848" s="16" t="s">
        <v>17</v>
      </c>
      <c r="Z848" s="16" t="s">
        <v>6926</v>
      </c>
    </row>
    <row r="849" spans="1:26" x14ac:dyDescent="0.3">
      <c r="A849" s="16">
        <v>848</v>
      </c>
      <c r="B849" s="16" t="s">
        <v>1075</v>
      </c>
      <c r="C849" s="17">
        <v>9780071362290</v>
      </c>
      <c r="D849" s="17">
        <v>9780071362290</v>
      </c>
      <c r="E849" s="16" t="s">
        <v>7036</v>
      </c>
      <c r="F849" s="16" t="s">
        <v>17</v>
      </c>
      <c r="G849" s="16" t="s">
        <v>17</v>
      </c>
      <c r="H849" s="16" t="s">
        <v>17</v>
      </c>
      <c r="I849" s="16" t="s">
        <v>17</v>
      </c>
      <c r="J849" s="16" t="s">
        <v>17</v>
      </c>
      <c r="K849" s="16" t="s">
        <v>1077</v>
      </c>
      <c r="L849" s="16" t="s">
        <v>1076</v>
      </c>
      <c r="M849" s="16" t="s">
        <v>1075</v>
      </c>
      <c r="N849" s="16" t="s">
        <v>17</v>
      </c>
      <c r="O849" s="16" t="s">
        <v>6921</v>
      </c>
      <c r="P849" s="16" t="s">
        <v>17</v>
      </c>
      <c r="Q849" s="16" t="s">
        <v>6922</v>
      </c>
      <c r="R849" s="16" t="s">
        <v>6923</v>
      </c>
      <c r="S849" s="16" t="s">
        <v>17</v>
      </c>
      <c r="T849" s="16" t="s">
        <v>7036</v>
      </c>
      <c r="U849" s="16" t="s">
        <v>17</v>
      </c>
      <c r="V849" s="16" t="s">
        <v>8016</v>
      </c>
      <c r="W849" s="16" t="s">
        <v>17</v>
      </c>
      <c r="X849" s="16" t="s">
        <v>1075</v>
      </c>
      <c r="Y849" s="16" t="s">
        <v>17</v>
      </c>
      <c r="Z849" s="16" t="s">
        <v>6926</v>
      </c>
    </row>
    <row r="850" spans="1:26" x14ac:dyDescent="0.3">
      <c r="A850" s="16">
        <v>849</v>
      </c>
      <c r="B850" s="16" t="s">
        <v>8006</v>
      </c>
      <c r="C850" s="17">
        <v>9781259585173</v>
      </c>
      <c r="D850" s="17">
        <v>9781259585173</v>
      </c>
      <c r="E850" s="16" t="s">
        <v>8007</v>
      </c>
      <c r="F850" s="16" t="s">
        <v>17</v>
      </c>
      <c r="G850" s="16" t="s">
        <v>17</v>
      </c>
      <c r="H850" s="16" t="s">
        <v>17</v>
      </c>
      <c r="I850" s="16" t="s">
        <v>17</v>
      </c>
      <c r="J850" s="16" t="s">
        <v>17</v>
      </c>
      <c r="K850" s="16" t="s">
        <v>1069</v>
      </c>
      <c r="L850" s="16" t="s">
        <v>17</v>
      </c>
      <c r="M850" s="16" t="s">
        <v>8006</v>
      </c>
      <c r="N850" s="16" t="s">
        <v>17</v>
      </c>
      <c r="O850" s="16" t="s">
        <v>6921</v>
      </c>
      <c r="P850" s="16" t="s">
        <v>17</v>
      </c>
      <c r="Q850" s="16" t="s">
        <v>6922</v>
      </c>
      <c r="R850" s="16" t="s">
        <v>6923</v>
      </c>
      <c r="S850" s="16" t="s">
        <v>17</v>
      </c>
      <c r="T850" s="16" t="s">
        <v>8007</v>
      </c>
      <c r="U850" s="16" t="s">
        <v>17</v>
      </c>
      <c r="V850" s="16" t="s">
        <v>6924</v>
      </c>
      <c r="W850" s="16" t="s">
        <v>8008</v>
      </c>
      <c r="X850" s="16" t="s">
        <v>8006</v>
      </c>
      <c r="Y850" s="16" t="s">
        <v>17</v>
      </c>
      <c r="Z850" s="16" t="s">
        <v>6926</v>
      </c>
    </row>
    <row r="851" spans="1:26" x14ac:dyDescent="0.3">
      <c r="A851" s="16">
        <v>850</v>
      </c>
      <c r="B851" s="16" t="s">
        <v>7980</v>
      </c>
      <c r="C851" s="17">
        <v>9780071364737</v>
      </c>
      <c r="D851" s="17">
        <v>9780071364737</v>
      </c>
      <c r="E851" s="16" t="s">
        <v>6920</v>
      </c>
      <c r="F851" s="16" t="s">
        <v>17</v>
      </c>
      <c r="G851" s="16" t="s">
        <v>17</v>
      </c>
      <c r="H851" s="16" t="s">
        <v>17</v>
      </c>
      <c r="I851" s="16" t="s">
        <v>17</v>
      </c>
      <c r="J851" s="16" t="s">
        <v>17</v>
      </c>
      <c r="K851" s="16" t="s">
        <v>1014</v>
      </c>
      <c r="L851" s="16" t="s">
        <v>1013</v>
      </c>
      <c r="M851" s="16" t="s">
        <v>7980</v>
      </c>
      <c r="N851" s="16" t="s">
        <v>17</v>
      </c>
      <c r="O851" s="16" t="s">
        <v>6921</v>
      </c>
      <c r="P851" s="16" t="s">
        <v>17</v>
      </c>
      <c r="Q851" s="16" t="s">
        <v>6922</v>
      </c>
      <c r="R851" s="16" t="s">
        <v>6923</v>
      </c>
      <c r="S851" s="16" t="s">
        <v>17</v>
      </c>
      <c r="T851" s="16" t="s">
        <v>6920</v>
      </c>
      <c r="U851" s="16" t="s">
        <v>17</v>
      </c>
      <c r="V851" s="16" t="s">
        <v>7320</v>
      </c>
      <c r="W851" s="16" t="s">
        <v>17</v>
      </c>
      <c r="X851" s="16" t="s">
        <v>7980</v>
      </c>
      <c r="Y851" s="16" t="s">
        <v>17</v>
      </c>
      <c r="Z851" s="16" t="s">
        <v>6926</v>
      </c>
    </row>
    <row r="852" spans="1:26" x14ac:dyDescent="0.3">
      <c r="A852" s="16">
        <v>851</v>
      </c>
      <c r="B852" s="16" t="s">
        <v>8246</v>
      </c>
      <c r="C852" s="17">
        <v>9781259642586</v>
      </c>
      <c r="D852" s="17">
        <v>9781259642586</v>
      </c>
      <c r="E852" s="16" t="s">
        <v>7846</v>
      </c>
      <c r="F852" s="16" t="s">
        <v>17</v>
      </c>
      <c r="G852" s="16" t="s">
        <v>17</v>
      </c>
      <c r="H852" s="16" t="s">
        <v>17</v>
      </c>
      <c r="I852" s="16" t="s">
        <v>17</v>
      </c>
      <c r="J852" s="16" t="s">
        <v>17</v>
      </c>
      <c r="K852" s="16" t="s">
        <v>1317</v>
      </c>
      <c r="L852" s="16" t="s">
        <v>17</v>
      </c>
      <c r="M852" s="16" t="s">
        <v>8246</v>
      </c>
      <c r="N852" s="16" t="s">
        <v>17</v>
      </c>
      <c r="O852" s="16" t="s">
        <v>6921</v>
      </c>
      <c r="P852" s="16" t="s">
        <v>17</v>
      </c>
      <c r="Q852" s="16" t="s">
        <v>6922</v>
      </c>
      <c r="R852" s="16" t="s">
        <v>6923</v>
      </c>
      <c r="S852" s="16" t="s">
        <v>17</v>
      </c>
      <c r="T852" s="16" t="s">
        <v>7846</v>
      </c>
      <c r="U852" s="16" t="s">
        <v>17</v>
      </c>
      <c r="V852" s="16" t="s">
        <v>7948</v>
      </c>
      <c r="W852" s="16" t="s">
        <v>1021</v>
      </c>
      <c r="X852" s="16" t="s">
        <v>8246</v>
      </c>
      <c r="Y852" s="16" t="s">
        <v>17</v>
      </c>
      <c r="Z852" s="16" t="s">
        <v>6926</v>
      </c>
    </row>
    <row r="853" spans="1:26" x14ac:dyDescent="0.3">
      <c r="A853" s="16">
        <v>852</v>
      </c>
      <c r="B853" s="16" t="s">
        <v>1101</v>
      </c>
      <c r="C853" s="17">
        <v>9780071762328</v>
      </c>
      <c r="D853" s="17">
        <v>9780071762328</v>
      </c>
      <c r="E853" s="16" t="s">
        <v>7777</v>
      </c>
      <c r="F853" s="16" t="s">
        <v>17</v>
      </c>
      <c r="G853" s="16" t="s">
        <v>17</v>
      </c>
      <c r="H853" s="16" t="s">
        <v>17</v>
      </c>
      <c r="I853" s="16" t="s">
        <v>17</v>
      </c>
      <c r="J853" s="16" t="s">
        <v>17</v>
      </c>
      <c r="K853" s="16" t="s">
        <v>1102</v>
      </c>
      <c r="L853" s="16" t="s">
        <v>288</v>
      </c>
      <c r="M853" s="16" t="s">
        <v>1101</v>
      </c>
      <c r="N853" s="16" t="s">
        <v>17</v>
      </c>
      <c r="O853" s="16" t="s">
        <v>6921</v>
      </c>
      <c r="P853" s="16" t="s">
        <v>17</v>
      </c>
      <c r="Q853" s="16" t="s">
        <v>6922</v>
      </c>
      <c r="R853" s="16" t="s">
        <v>6923</v>
      </c>
      <c r="S853" s="16" t="s">
        <v>17</v>
      </c>
      <c r="T853" s="16" t="s">
        <v>7777</v>
      </c>
      <c r="U853" s="16" t="s">
        <v>17</v>
      </c>
      <c r="V853" s="16" t="s">
        <v>8036</v>
      </c>
      <c r="W853" s="16" t="s">
        <v>17</v>
      </c>
      <c r="X853" s="16" t="s">
        <v>1101</v>
      </c>
      <c r="Y853" s="16" t="s">
        <v>17</v>
      </c>
      <c r="Z853" s="16" t="s">
        <v>6926</v>
      </c>
    </row>
    <row r="854" spans="1:26" x14ac:dyDescent="0.3">
      <c r="A854" s="16">
        <v>853</v>
      </c>
      <c r="B854" s="16" t="s">
        <v>7489</v>
      </c>
      <c r="C854" s="17">
        <v>9780070067172</v>
      </c>
      <c r="D854" s="17">
        <v>9780070067172</v>
      </c>
      <c r="E854" s="16" t="s">
        <v>6920</v>
      </c>
      <c r="F854" s="16" t="s">
        <v>17</v>
      </c>
      <c r="G854" s="16" t="s">
        <v>17</v>
      </c>
      <c r="H854" s="16" t="s">
        <v>17</v>
      </c>
      <c r="I854" s="16" t="s">
        <v>17</v>
      </c>
      <c r="J854" s="16" t="s">
        <v>17</v>
      </c>
      <c r="K854" s="16" t="s">
        <v>501</v>
      </c>
      <c r="L854" s="16" t="s">
        <v>17</v>
      </c>
      <c r="M854" s="16" t="s">
        <v>7489</v>
      </c>
      <c r="N854" s="16" t="s">
        <v>17</v>
      </c>
      <c r="O854" s="16" t="s">
        <v>6921</v>
      </c>
      <c r="P854" s="16" t="s">
        <v>17</v>
      </c>
      <c r="Q854" s="16" t="s">
        <v>6922</v>
      </c>
      <c r="R854" s="16" t="s">
        <v>6923</v>
      </c>
      <c r="S854" s="16" t="s">
        <v>17</v>
      </c>
      <c r="T854" s="16" t="s">
        <v>6920</v>
      </c>
      <c r="U854" s="16" t="s">
        <v>17</v>
      </c>
      <c r="V854" s="16" t="s">
        <v>6924</v>
      </c>
      <c r="W854" s="16" t="s">
        <v>500</v>
      </c>
      <c r="X854" s="16" t="s">
        <v>7489</v>
      </c>
      <c r="Y854" s="16" t="s">
        <v>17</v>
      </c>
      <c r="Z854" s="16" t="s">
        <v>6926</v>
      </c>
    </row>
    <row r="855" spans="1:26" x14ac:dyDescent="0.3">
      <c r="A855" s="16">
        <v>854</v>
      </c>
      <c r="B855" s="16" t="s">
        <v>7740</v>
      </c>
      <c r="C855" s="17">
        <v>9780071356374</v>
      </c>
      <c r="D855" s="17">
        <v>9780071356374</v>
      </c>
      <c r="E855" s="16" t="s">
        <v>6920</v>
      </c>
      <c r="F855" s="16" t="s">
        <v>17</v>
      </c>
      <c r="G855" s="16" t="s">
        <v>17</v>
      </c>
      <c r="H855" s="16" t="s">
        <v>17</v>
      </c>
      <c r="I855" s="16" t="s">
        <v>17</v>
      </c>
      <c r="J855" s="16" t="s">
        <v>17</v>
      </c>
      <c r="K855" s="16" t="s">
        <v>726</v>
      </c>
      <c r="L855" s="16" t="s">
        <v>182</v>
      </c>
      <c r="M855" s="16" t="s">
        <v>7740</v>
      </c>
      <c r="N855" s="16" t="s">
        <v>17</v>
      </c>
      <c r="O855" s="16" t="s">
        <v>6921</v>
      </c>
      <c r="P855" s="16" t="s">
        <v>17</v>
      </c>
      <c r="Q855" s="16" t="s">
        <v>6922</v>
      </c>
      <c r="R855" s="16" t="s">
        <v>6923</v>
      </c>
      <c r="S855" s="16" t="s">
        <v>17</v>
      </c>
      <c r="T855" s="16" t="s">
        <v>6920</v>
      </c>
      <c r="U855" s="16" t="s">
        <v>17</v>
      </c>
      <c r="V855" s="16" t="s">
        <v>7439</v>
      </c>
      <c r="W855" s="16" t="s">
        <v>17</v>
      </c>
      <c r="X855" s="16" t="s">
        <v>7740</v>
      </c>
      <c r="Y855" s="16" t="s">
        <v>17</v>
      </c>
      <c r="Z855" s="16" t="s">
        <v>6926</v>
      </c>
    </row>
    <row r="856" spans="1:26" x14ac:dyDescent="0.3">
      <c r="A856" s="16">
        <v>855</v>
      </c>
      <c r="B856" s="16" t="s">
        <v>392</v>
      </c>
      <c r="C856" s="17">
        <v>9780071451000</v>
      </c>
      <c r="D856" s="17">
        <v>9780071451000</v>
      </c>
      <c r="E856" s="16" t="s">
        <v>6920</v>
      </c>
      <c r="F856" s="16" t="s">
        <v>17</v>
      </c>
      <c r="G856" s="16" t="s">
        <v>17</v>
      </c>
      <c r="H856" s="16" t="s">
        <v>17</v>
      </c>
      <c r="I856" s="16" t="s">
        <v>17</v>
      </c>
      <c r="J856" s="16" t="s">
        <v>17</v>
      </c>
      <c r="K856" s="16" t="s">
        <v>393</v>
      </c>
      <c r="L856" s="16" t="s">
        <v>82</v>
      </c>
      <c r="M856" s="16" t="s">
        <v>392</v>
      </c>
      <c r="N856" s="16" t="s">
        <v>17</v>
      </c>
      <c r="O856" s="16" t="s">
        <v>6921</v>
      </c>
      <c r="P856" s="16" t="s">
        <v>17</v>
      </c>
      <c r="Q856" s="16" t="s">
        <v>6922</v>
      </c>
      <c r="R856" s="16" t="s">
        <v>6923</v>
      </c>
      <c r="S856" s="16" t="s">
        <v>17</v>
      </c>
      <c r="T856" s="16" t="s">
        <v>6920</v>
      </c>
      <c r="U856" s="16" t="s">
        <v>17</v>
      </c>
      <c r="V856" s="16" t="s">
        <v>7049</v>
      </c>
      <c r="W856" s="16" t="s">
        <v>17</v>
      </c>
      <c r="X856" s="16" t="s">
        <v>392</v>
      </c>
      <c r="Y856" s="16" t="s">
        <v>17</v>
      </c>
      <c r="Z856" s="16" t="s">
        <v>6926</v>
      </c>
    </row>
    <row r="857" spans="1:26" x14ac:dyDescent="0.3">
      <c r="A857" s="16">
        <v>856</v>
      </c>
      <c r="B857" s="16" t="s">
        <v>7252</v>
      </c>
      <c r="C857" s="17">
        <v>9780071384216</v>
      </c>
      <c r="D857" s="17">
        <v>9780071384216</v>
      </c>
      <c r="E857" s="16" t="s">
        <v>7253</v>
      </c>
      <c r="F857" s="16" t="s">
        <v>17</v>
      </c>
      <c r="G857" s="16" t="s">
        <v>17</v>
      </c>
      <c r="H857" s="16" t="s">
        <v>17</v>
      </c>
      <c r="I857" s="16" t="s">
        <v>17</v>
      </c>
      <c r="J857" s="16" t="s">
        <v>17</v>
      </c>
      <c r="K857" s="16" t="s">
        <v>283</v>
      </c>
      <c r="L857" s="16" t="s">
        <v>17</v>
      </c>
      <c r="M857" s="16" t="s">
        <v>7252</v>
      </c>
      <c r="N857" s="16" t="s">
        <v>17</v>
      </c>
      <c r="O857" s="16" t="s">
        <v>6921</v>
      </c>
      <c r="P857" s="16" t="s">
        <v>17</v>
      </c>
      <c r="Q857" s="16" t="s">
        <v>6922</v>
      </c>
      <c r="R857" s="16" t="s">
        <v>6923</v>
      </c>
      <c r="S857" s="16" t="s">
        <v>17</v>
      </c>
      <c r="T857" s="16" t="s">
        <v>7253</v>
      </c>
      <c r="U857" s="16" t="s">
        <v>17</v>
      </c>
      <c r="V857" s="16" t="s">
        <v>6944</v>
      </c>
      <c r="W857" s="16" t="s">
        <v>282</v>
      </c>
      <c r="X857" s="16" t="s">
        <v>7252</v>
      </c>
      <c r="Y857" s="16" t="s">
        <v>17</v>
      </c>
      <c r="Z857" s="16" t="s">
        <v>6926</v>
      </c>
    </row>
    <row r="858" spans="1:26" x14ac:dyDescent="0.3">
      <c r="A858" s="16">
        <v>857</v>
      </c>
      <c r="B858" s="16" t="s">
        <v>7848</v>
      </c>
      <c r="C858" s="17">
        <v>9780070131606</v>
      </c>
      <c r="D858" s="17">
        <v>9780070131606</v>
      </c>
      <c r="E858" s="16" t="s">
        <v>7036</v>
      </c>
      <c r="F858" s="16" t="s">
        <v>17</v>
      </c>
      <c r="G858" s="16" t="s">
        <v>17</v>
      </c>
      <c r="H858" s="16" t="s">
        <v>17</v>
      </c>
      <c r="I858" s="16" t="s">
        <v>17</v>
      </c>
      <c r="J858" s="16" t="s">
        <v>17</v>
      </c>
      <c r="K858" s="16" t="s">
        <v>839</v>
      </c>
      <c r="L858" s="16" t="s">
        <v>838</v>
      </c>
      <c r="M858" s="16" t="s">
        <v>7848</v>
      </c>
      <c r="N858" s="16" t="s">
        <v>17</v>
      </c>
      <c r="O858" s="16" t="s">
        <v>6921</v>
      </c>
      <c r="P858" s="16" t="s">
        <v>17</v>
      </c>
      <c r="Q858" s="16" t="s">
        <v>6922</v>
      </c>
      <c r="R858" s="16" t="s">
        <v>6923</v>
      </c>
      <c r="S858" s="16" t="s">
        <v>17</v>
      </c>
      <c r="T858" s="16" t="s">
        <v>7036</v>
      </c>
      <c r="U858" s="16" t="s">
        <v>17</v>
      </c>
      <c r="V858" s="16" t="s">
        <v>7480</v>
      </c>
      <c r="W858" s="16" t="s">
        <v>17</v>
      </c>
      <c r="X858" s="16" t="s">
        <v>7848</v>
      </c>
      <c r="Y858" s="16" t="s">
        <v>17</v>
      </c>
      <c r="Z858" s="16" t="s">
        <v>6926</v>
      </c>
    </row>
    <row r="859" spans="1:26" x14ac:dyDescent="0.3">
      <c r="A859" s="16">
        <v>858</v>
      </c>
      <c r="B859" s="16" t="s">
        <v>7018</v>
      </c>
      <c r="C859" s="17">
        <v>9780071441643</v>
      </c>
      <c r="D859" s="17">
        <v>9780071441643</v>
      </c>
      <c r="E859" s="16" t="s">
        <v>6920</v>
      </c>
      <c r="F859" s="16" t="s">
        <v>17</v>
      </c>
      <c r="G859" s="16" t="s">
        <v>17</v>
      </c>
      <c r="H859" s="16" t="s">
        <v>17</v>
      </c>
      <c r="I859" s="16" t="s">
        <v>17</v>
      </c>
      <c r="J859" s="16" t="s">
        <v>17</v>
      </c>
      <c r="K859" s="16" t="s">
        <v>88</v>
      </c>
      <c r="L859" s="16" t="s">
        <v>17</v>
      </c>
      <c r="M859" s="16" t="s">
        <v>7018</v>
      </c>
      <c r="N859" s="16" t="s">
        <v>17</v>
      </c>
      <c r="O859" s="16" t="s">
        <v>6921</v>
      </c>
      <c r="P859" s="16" t="s">
        <v>17</v>
      </c>
      <c r="Q859" s="16" t="s">
        <v>6922</v>
      </c>
      <c r="R859" s="16" t="s">
        <v>6923</v>
      </c>
      <c r="S859" s="16" t="s">
        <v>17</v>
      </c>
      <c r="T859" s="16" t="s">
        <v>6920</v>
      </c>
      <c r="U859" s="16" t="s">
        <v>17</v>
      </c>
      <c r="V859" s="16" t="s">
        <v>6949</v>
      </c>
      <c r="W859" s="16" t="s">
        <v>7019</v>
      </c>
      <c r="X859" s="16" t="s">
        <v>7018</v>
      </c>
      <c r="Y859" s="16" t="s">
        <v>17</v>
      </c>
      <c r="Z859" s="16" t="s">
        <v>6926</v>
      </c>
    </row>
    <row r="860" spans="1:26" x14ac:dyDescent="0.3">
      <c r="A860" s="16">
        <v>859</v>
      </c>
      <c r="B860" s="16" t="s">
        <v>7233</v>
      </c>
      <c r="C860" s="17">
        <v>9780071361927</v>
      </c>
      <c r="D860" s="17">
        <v>9780071361927</v>
      </c>
      <c r="E860" s="16" t="s">
        <v>6920</v>
      </c>
      <c r="F860" s="16" t="s">
        <v>17</v>
      </c>
      <c r="G860" s="16" t="s">
        <v>17</v>
      </c>
      <c r="H860" s="16" t="s">
        <v>17</v>
      </c>
      <c r="I860" s="16" t="s">
        <v>17</v>
      </c>
      <c r="J860" s="16" t="s">
        <v>17</v>
      </c>
      <c r="K860" s="16" t="s">
        <v>268</v>
      </c>
      <c r="L860" s="16" t="s">
        <v>17</v>
      </c>
      <c r="M860" s="16" t="s">
        <v>7233</v>
      </c>
      <c r="N860" s="16" t="s">
        <v>17</v>
      </c>
      <c r="O860" s="16" t="s">
        <v>6921</v>
      </c>
      <c r="P860" s="16" t="s">
        <v>17</v>
      </c>
      <c r="Q860" s="16" t="s">
        <v>6922</v>
      </c>
      <c r="R860" s="16" t="s">
        <v>6923</v>
      </c>
      <c r="S860" s="16" t="s">
        <v>17</v>
      </c>
      <c r="T860" s="16" t="s">
        <v>6920</v>
      </c>
      <c r="U860" s="16" t="s">
        <v>17</v>
      </c>
      <c r="V860" s="16" t="s">
        <v>6949</v>
      </c>
      <c r="W860" s="16" t="s">
        <v>7234</v>
      </c>
      <c r="X860" s="16" t="s">
        <v>7233</v>
      </c>
      <c r="Y860" s="16" t="s">
        <v>17</v>
      </c>
      <c r="Z860" s="16" t="s">
        <v>6926</v>
      </c>
    </row>
    <row r="861" spans="1:26" x14ac:dyDescent="0.3">
      <c r="A861" s="16">
        <v>860</v>
      </c>
      <c r="B861" s="16" t="s">
        <v>945</v>
      </c>
      <c r="C861" s="17">
        <v>9780071411806</v>
      </c>
      <c r="D861" s="17">
        <v>9780071411806</v>
      </c>
      <c r="E861" s="16" t="s">
        <v>6920</v>
      </c>
      <c r="F861" s="16" t="s">
        <v>17</v>
      </c>
      <c r="G861" s="16" t="s">
        <v>17</v>
      </c>
      <c r="H861" s="16" t="s">
        <v>17</v>
      </c>
      <c r="I861" s="16" t="s">
        <v>17</v>
      </c>
      <c r="J861" s="16" t="s">
        <v>17</v>
      </c>
      <c r="K861" s="16" t="s">
        <v>946</v>
      </c>
      <c r="L861" s="16" t="s">
        <v>82</v>
      </c>
      <c r="M861" s="16" t="s">
        <v>945</v>
      </c>
      <c r="N861" s="16" t="s">
        <v>17</v>
      </c>
      <c r="O861" s="16" t="s">
        <v>6921</v>
      </c>
      <c r="P861" s="16" t="s">
        <v>17</v>
      </c>
      <c r="Q861" s="16" t="s">
        <v>6922</v>
      </c>
      <c r="R861" s="16" t="s">
        <v>6923</v>
      </c>
      <c r="S861" s="16" t="s">
        <v>17</v>
      </c>
      <c r="T861" s="16" t="s">
        <v>6920</v>
      </c>
      <c r="U861" s="16" t="s">
        <v>17</v>
      </c>
      <c r="V861" s="16" t="s">
        <v>7933</v>
      </c>
      <c r="W861" s="16" t="s">
        <v>17</v>
      </c>
      <c r="X861" s="16" t="s">
        <v>945</v>
      </c>
      <c r="Y861" s="16" t="s">
        <v>17</v>
      </c>
      <c r="Z861" s="16" t="s">
        <v>6926</v>
      </c>
    </row>
    <row r="862" spans="1:26" x14ac:dyDescent="0.3">
      <c r="A862" s="16">
        <v>861</v>
      </c>
      <c r="B862" s="16" t="s">
        <v>8394</v>
      </c>
      <c r="C862" s="17">
        <v>9780071832366</v>
      </c>
      <c r="D862" s="17">
        <v>9780071832366</v>
      </c>
      <c r="E862" s="16" t="s">
        <v>7083</v>
      </c>
      <c r="F862" s="16" t="s">
        <v>17</v>
      </c>
      <c r="G862" s="16" t="s">
        <v>17</v>
      </c>
      <c r="H862" s="16" t="s">
        <v>17</v>
      </c>
      <c r="I862" s="16" t="s">
        <v>17</v>
      </c>
      <c r="J862" s="16" t="s">
        <v>17</v>
      </c>
      <c r="K862" s="16" t="s">
        <v>1592</v>
      </c>
      <c r="L862" s="16" t="s">
        <v>1591</v>
      </c>
      <c r="M862" s="16" t="s">
        <v>8394</v>
      </c>
      <c r="N862" s="16" t="s">
        <v>17</v>
      </c>
      <c r="O862" s="16" t="s">
        <v>6921</v>
      </c>
      <c r="P862" s="16" t="s">
        <v>17</v>
      </c>
      <c r="Q862" s="16" t="s">
        <v>6922</v>
      </c>
      <c r="R862" s="16" t="s">
        <v>6923</v>
      </c>
      <c r="S862" s="16" t="s">
        <v>17</v>
      </c>
      <c r="T862" s="16" t="s">
        <v>7083</v>
      </c>
      <c r="U862" s="16" t="s">
        <v>17</v>
      </c>
      <c r="V862" s="16" t="s">
        <v>6929</v>
      </c>
      <c r="W862" s="16" t="s">
        <v>17</v>
      </c>
      <c r="X862" s="16" t="s">
        <v>8394</v>
      </c>
      <c r="Y862" s="16" t="s">
        <v>17</v>
      </c>
      <c r="Z862" s="16" t="s">
        <v>6926</v>
      </c>
    </row>
    <row r="863" spans="1:26" x14ac:dyDescent="0.3">
      <c r="A863" s="16">
        <v>862</v>
      </c>
      <c r="B863" s="16" t="s">
        <v>7816</v>
      </c>
      <c r="C863" s="17">
        <v>9780071742498</v>
      </c>
      <c r="D863" s="17">
        <v>9780071742498</v>
      </c>
      <c r="E863" s="16" t="s">
        <v>7275</v>
      </c>
      <c r="F863" s="16" t="s">
        <v>17</v>
      </c>
      <c r="G863" s="16" t="s">
        <v>17</v>
      </c>
      <c r="H863" s="16" t="s">
        <v>17</v>
      </c>
      <c r="I863" s="16" t="s">
        <v>17</v>
      </c>
      <c r="J863" s="16" t="s">
        <v>17</v>
      </c>
      <c r="K863" s="16" t="s">
        <v>791</v>
      </c>
      <c r="L863" s="16" t="s">
        <v>333</v>
      </c>
      <c r="M863" s="16" t="s">
        <v>7816</v>
      </c>
      <c r="N863" s="16" t="s">
        <v>17</v>
      </c>
      <c r="O863" s="16" t="s">
        <v>6921</v>
      </c>
      <c r="P863" s="16" t="s">
        <v>17</v>
      </c>
      <c r="Q863" s="16" t="s">
        <v>6922</v>
      </c>
      <c r="R863" s="16" t="s">
        <v>6923</v>
      </c>
      <c r="S863" s="16" t="s">
        <v>17</v>
      </c>
      <c r="T863" s="16" t="s">
        <v>7275</v>
      </c>
      <c r="U863" s="16" t="s">
        <v>17</v>
      </c>
      <c r="V863" s="16" t="s">
        <v>6929</v>
      </c>
      <c r="W863" s="16" t="s">
        <v>17</v>
      </c>
      <c r="X863" s="16" t="s">
        <v>7816</v>
      </c>
      <c r="Y863" s="16" t="s">
        <v>17</v>
      </c>
      <c r="Z863" s="16" t="s">
        <v>6926</v>
      </c>
    </row>
    <row r="864" spans="1:26" x14ac:dyDescent="0.3">
      <c r="A864" s="16">
        <v>863</v>
      </c>
      <c r="B864" s="16" t="s">
        <v>8230</v>
      </c>
      <c r="C864" s="17">
        <v>9781259641336</v>
      </c>
      <c r="D864" s="17">
        <v>9781259641336</v>
      </c>
      <c r="E864" s="16" t="s">
        <v>8231</v>
      </c>
      <c r="F864" s="16" t="s">
        <v>17</v>
      </c>
      <c r="G864" s="16" t="s">
        <v>17</v>
      </c>
      <c r="H864" s="16" t="s">
        <v>17</v>
      </c>
      <c r="I864" s="16" t="s">
        <v>17</v>
      </c>
      <c r="J864" s="16" t="s">
        <v>17</v>
      </c>
      <c r="K864" s="16" t="s">
        <v>1308</v>
      </c>
      <c r="L864" s="16" t="s">
        <v>8232</v>
      </c>
      <c r="M864" s="16" t="s">
        <v>8230</v>
      </c>
      <c r="N864" s="16" t="s">
        <v>17</v>
      </c>
      <c r="O864" s="16" t="s">
        <v>6921</v>
      </c>
      <c r="P864" s="16" t="s">
        <v>17</v>
      </c>
      <c r="Q864" s="16" t="s">
        <v>6922</v>
      </c>
      <c r="R864" s="16" t="s">
        <v>6923</v>
      </c>
      <c r="S864" s="16" t="s">
        <v>17</v>
      </c>
      <c r="T864" s="16" t="s">
        <v>8231</v>
      </c>
      <c r="U864" s="16" t="s">
        <v>17</v>
      </c>
      <c r="V864" s="16" t="s">
        <v>7173</v>
      </c>
      <c r="W864" s="16" t="s">
        <v>17</v>
      </c>
      <c r="X864" s="16" t="s">
        <v>8230</v>
      </c>
      <c r="Y864" s="16" t="s">
        <v>17</v>
      </c>
      <c r="Z864" s="16" t="s">
        <v>6926</v>
      </c>
    </row>
    <row r="865" spans="1:26" x14ac:dyDescent="0.3">
      <c r="A865" s="16">
        <v>864</v>
      </c>
      <c r="B865" s="16" t="s">
        <v>1491</v>
      </c>
      <c r="C865" s="17">
        <v>9780071667968</v>
      </c>
      <c r="D865" s="17">
        <v>9780071667968</v>
      </c>
      <c r="E865" s="16" t="s">
        <v>7253</v>
      </c>
      <c r="F865" s="16" t="s">
        <v>17</v>
      </c>
      <c r="G865" s="16" t="s">
        <v>17</v>
      </c>
      <c r="H865" s="16" t="s">
        <v>17</v>
      </c>
      <c r="I865" s="16" t="s">
        <v>17</v>
      </c>
      <c r="J865" s="16" t="s">
        <v>17</v>
      </c>
      <c r="K865" s="16" t="s">
        <v>1492</v>
      </c>
      <c r="L865" s="16" t="s">
        <v>1307</v>
      </c>
      <c r="M865" s="16" t="s">
        <v>1491</v>
      </c>
      <c r="N865" s="16" t="s">
        <v>17</v>
      </c>
      <c r="O865" s="16" t="s">
        <v>6921</v>
      </c>
      <c r="P865" s="16" t="s">
        <v>17</v>
      </c>
      <c r="Q865" s="16" t="s">
        <v>6922</v>
      </c>
      <c r="R865" s="16" t="s">
        <v>6923</v>
      </c>
      <c r="S865" s="16" t="s">
        <v>17</v>
      </c>
      <c r="T865" s="16" t="s">
        <v>7253</v>
      </c>
      <c r="U865" s="16" t="s">
        <v>17</v>
      </c>
      <c r="V865" s="16" t="s">
        <v>8365</v>
      </c>
      <c r="W865" s="16" t="s">
        <v>17</v>
      </c>
      <c r="X865" s="16" t="s">
        <v>1491</v>
      </c>
      <c r="Y865" s="16" t="s">
        <v>17</v>
      </c>
      <c r="Z865" s="16" t="s">
        <v>6926</v>
      </c>
    </row>
    <row r="866" spans="1:26" x14ac:dyDescent="0.3">
      <c r="A866" s="16">
        <v>865</v>
      </c>
      <c r="B866" s="16" t="s">
        <v>7226</v>
      </c>
      <c r="C866" s="17">
        <v>9780071508216</v>
      </c>
      <c r="D866" s="17">
        <v>9780071508216</v>
      </c>
      <c r="E866" s="16" t="s">
        <v>6920</v>
      </c>
      <c r="F866" s="16" t="s">
        <v>17</v>
      </c>
      <c r="G866" s="16" t="s">
        <v>17</v>
      </c>
      <c r="H866" s="16" t="s">
        <v>17</v>
      </c>
      <c r="I866" s="16" t="s">
        <v>17</v>
      </c>
      <c r="J866" s="16" t="s">
        <v>17</v>
      </c>
      <c r="K866" s="16" t="s">
        <v>263</v>
      </c>
      <c r="L866" s="16" t="s">
        <v>7227</v>
      </c>
      <c r="M866" s="16" t="s">
        <v>7226</v>
      </c>
      <c r="N866" s="16" t="s">
        <v>17</v>
      </c>
      <c r="O866" s="16" t="s">
        <v>6921</v>
      </c>
      <c r="P866" s="16" t="s">
        <v>17</v>
      </c>
      <c r="Q866" s="16" t="s">
        <v>6922</v>
      </c>
      <c r="R866" s="16" t="s">
        <v>6923</v>
      </c>
      <c r="S866" s="16" t="s">
        <v>17</v>
      </c>
      <c r="T866" s="16" t="s">
        <v>6920</v>
      </c>
      <c r="U866" s="16" t="s">
        <v>17</v>
      </c>
      <c r="V866" s="16" t="s">
        <v>6924</v>
      </c>
      <c r="W866" s="16" t="s">
        <v>17</v>
      </c>
      <c r="X866" s="16" t="s">
        <v>7226</v>
      </c>
      <c r="Y866" s="16" t="s">
        <v>17</v>
      </c>
      <c r="Z866" s="16" t="s">
        <v>6926</v>
      </c>
    </row>
    <row r="867" spans="1:26" x14ac:dyDescent="0.3">
      <c r="A867" s="16">
        <v>866</v>
      </c>
      <c r="B867" s="16" t="s">
        <v>7202</v>
      </c>
      <c r="C867" s="17">
        <v>9780071844611</v>
      </c>
      <c r="D867" s="17">
        <v>9780071844611</v>
      </c>
      <c r="E867" s="16" t="s">
        <v>7203</v>
      </c>
      <c r="F867" s="16" t="s">
        <v>17</v>
      </c>
      <c r="G867" s="16" t="s">
        <v>17</v>
      </c>
      <c r="H867" s="16" t="s">
        <v>17</v>
      </c>
      <c r="I867" s="16" t="s">
        <v>17</v>
      </c>
      <c r="J867" s="16" t="s">
        <v>17</v>
      </c>
      <c r="K867" s="16" t="s">
        <v>244</v>
      </c>
      <c r="L867" s="16" t="s">
        <v>7204</v>
      </c>
      <c r="M867" s="16" t="s">
        <v>7202</v>
      </c>
      <c r="N867" s="16" t="s">
        <v>17</v>
      </c>
      <c r="O867" s="16" t="s">
        <v>6921</v>
      </c>
      <c r="P867" s="16" t="s">
        <v>17</v>
      </c>
      <c r="Q867" s="16" t="s">
        <v>6922</v>
      </c>
      <c r="R867" s="16" t="s">
        <v>6923</v>
      </c>
      <c r="S867" s="16" t="s">
        <v>17</v>
      </c>
      <c r="T867" s="16" t="s">
        <v>7203</v>
      </c>
      <c r="U867" s="16" t="s">
        <v>17</v>
      </c>
      <c r="V867" s="16" t="s">
        <v>6929</v>
      </c>
      <c r="W867" s="16" t="s">
        <v>17</v>
      </c>
      <c r="X867" s="16" t="s">
        <v>7202</v>
      </c>
      <c r="Y867" s="16" t="s">
        <v>17</v>
      </c>
      <c r="Z867" s="16" t="s">
        <v>6926</v>
      </c>
    </row>
    <row r="868" spans="1:26" x14ac:dyDescent="0.3">
      <c r="A868" s="16">
        <v>867</v>
      </c>
      <c r="B868" s="16" t="s">
        <v>8160</v>
      </c>
      <c r="C868" s="17">
        <v>9781259588013</v>
      </c>
      <c r="D868" s="17">
        <v>9781259588013</v>
      </c>
      <c r="E868" s="16" t="s">
        <v>7213</v>
      </c>
      <c r="F868" s="16" t="s">
        <v>17</v>
      </c>
      <c r="G868" s="16" t="s">
        <v>17</v>
      </c>
      <c r="H868" s="16" t="s">
        <v>17</v>
      </c>
      <c r="I868" s="16" t="s">
        <v>17</v>
      </c>
      <c r="J868" s="16" t="s">
        <v>17</v>
      </c>
      <c r="K868" s="16" t="s">
        <v>1246</v>
      </c>
      <c r="L868" s="16" t="s">
        <v>1245</v>
      </c>
      <c r="M868" s="16" t="s">
        <v>8160</v>
      </c>
      <c r="N868" s="16" t="s">
        <v>17</v>
      </c>
      <c r="O868" s="16" t="s">
        <v>6921</v>
      </c>
      <c r="P868" s="16" t="s">
        <v>17</v>
      </c>
      <c r="Q868" s="16" t="s">
        <v>6922</v>
      </c>
      <c r="R868" s="16" t="s">
        <v>6923</v>
      </c>
      <c r="S868" s="16" t="s">
        <v>17</v>
      </c>
      <c r="T868" s="16" t="s">
        <v>7213</v>
      </c>
      <c r="U868" s="16" t="s">
        <v>17</v>
      </c>
      <c r="V868" s="16" t="s">
        <v>6924</v>
      </c>
      <c r="W868" s="16" t="s">
        <v>17</v>
      </c>
      <c r="X868" s="16" t="s">
        <v>8160</v>
      </c>
      <c r="Y868" s="16" t="s">
        <v>17</v>
      </c>
      <c r="Z868" s="16" t="s">
        <v>6926</v>
      </c>
    </row>
    <row r="869" spans="1:26" x14ac:dyDescent="0.3">
      <c r="A869" s="16">
        <v>868</v>
      </c>
      <c r="B869" s="16" t="s">
        <v>922</v>
      </c>
      <c r="C869" s="17">
        <v>9780071638371</v>
      </c>
      <c r="D869" s="17">
        <v>9780071638371</v>
      </c>
      <c r="E869" s="16" t="s">
        <v>7865</v>
      </c>
      <c r="F869" s="16" t="s">
        <v>17</v>
      </c>
      <c r="G869" s="16" t="s">
        <v>17</v>
      </c>
      <c r="H869" s="16" t="s">
        <v>17</v>
      </c>
      <c r="I869" s="16" t="s">
        <v>17</v>
      </c>
      <c r="J869" s="16" t="s">
        <v>17</v>
      </c>
      <c r="K869" s="16" t="s">
        <v>924</v>
      </c>
      <c r="L869" s="16" t="s">
        <v>923</v>
      </c>
      <c r="M869" s="16" t="s">
        <v>922</v>
      </c>
      <c r="N869" s="16" t="s">
        <v>17</v>
      </c>
      <c r="O869" s="16" t="s">
        <v>6921</v>
      </c>
      <c r="P869" s="16" t="s">
        <v>17</v>
      </c>
      <c r="Q869" s="16" t="s">
        <v>6922</v>
      </c>
      <c r="R869" s="16" t="s">
        <v>6923</v>
      </c>
      <c r="S869" s="16" t="s">
        <v>17</v>
      </c>
      <c r="T869" s="16" t="s">
        <v>7865</v>
      </c>
      <c r="U869" s="16" t="s">
        <v>17</v>
      </c>
      <c r="V869" s="16" t="s">
        <v>7049</v>
      </c>
      <c r="W869" s="16" t="s">
        <v>17</v>
      </c>
      <c r="X869" s="16" t="s">
        <v>922</v>
      </c>
      <c r="Y869" s="16" t="s">
        <v>17</v>
      </c>
      <c r="Z869" s="16" t="s">
        <v>6926</v>
      </c>
    </row>
    <row r="870" spans="1:26" x14ac:dyDescent="0.3">
      <c r="A870" s="16">
        <v>869</v>
      </c>
      <c r="B870" s="16" t="s">
        <v>7741</v>
      </c>
      <c r="C870" s="17">
        <v>9780071549387</v>
      </c>
      <c r="D870" s="17">
        <v>9780071549387</v>
      </c>
      <c r="E870" s="16" t="s">
        <v>6920</v>
      </c>
      <c r="F870" s="16" t="s">
        <v>17</v>
      </c>
      <c r="G870" s="16" t="s">
        <v>17</v>
      </c>
      <c r="H870" s="16" t="s">
        <v>17</v>
      </c>
      <c r="I870" s="16" t="s">
        <v>17</v>
      </c>
      <c r="J870" s="16" t="s">
        <v>17</v>
      </c>
      <c r="K870" s="16" t="s">
        <v>728</v>
      </c>
      <c r="L870" s="16" t="s">
        <v>17</v>
      </c>
      <c r="M870" s="16" t="s">
        <v>7741</v>
      </c>
      <c r="N870" s="16" t="s">
        <v>17</v>
      </c>
      <c r="O870" s="16" t="s">
        <v>6921</v>
      </c>
      <c r="P870" s="16" t="s">
        <v>17</v>
      </c>
      <c r="Q870" s="16" t="s">
        <v>6922</v>
      </c>
      <c r="R870" s="16" t="s">
        <v>6923</v>
      </c>
      <c r="S870" s="16" t="s">
        <v>17</v>
      </c>
      <c r="T870" s="16" t="s">
        <v>6920</v>
      </c>
      <c r="U870" s="16" t="s">
        <v>17</v>
      </c>
      <c r="V870" s="16" t="s">
        <v>6929</v>
      </c>
      <c r="W870" s="16" t="s">
        <v>727</v>
      </c>
      <c r="X870" s="16" t="s">
        <v>7741</v>
      </c>
      <c r="Y870" s="16" t="s">
        <v>17</v>
      </c>
      <c r="Z870" s="16" t="s">
        <v>6926</v>
      </c>
    </row>
    <row r="871" spans="1:26" x14ac:dyDescent="0.3">
      <c r="A871" s="16">
        <v>870</v>
      </c>
      <c r="B871" s="16" t="s">
        <v>8438</v>
      </c>
      <c r="C871" s="17">
        <v>9781260453157</v>
      </c>
      <c r="D871" s="17">
        <v>9781260453157</v>
      </c>
      <c r="E871" s="16" t="s">
        <v>8439</v>
      </c>
      <c r="F871" s="16" t="s">
        <v>17</v>
      </c>
      <c r="G871" s="16" t="s">
        <v>17</v>
      </c>
      <c r="H871" s="16" t="s">
        <v>17</v>
      </c>
      <c r="I871" s="16" t="s">
        <v>17</v>
      </c>
      <c r="J871" s="16" t="s">
        <v>17</v>
      </c>
      <c r="K871" s="16" t="s">
        <v>1621</v>
      </c>
      <c r="L871" s="16" t="s">
        <v>1620</v>
      </c>
      <c r="M871" s="16" t="s">
        <v>8438</v>
      </c>
      <c r="N871" s="16" t="s">
        <v>17</v>
      </c>
      <c r="O871" s="16" t="s">
        <v>6921</v>
      </c>
      <c r="P871" s="16" t="s">
        <v>17</v>
      </c>
      <c r="Q871" s="16" t="s">
        <v>6922</v>
      </c>
      <c r="R871" s="16" t="s">
        <v>6923</v>
      </c>
      <c r="S871" s="16" t="s">
        <v>17</v>
      </c>
      <c r="T871" s="16" t="s">
        <v>8439</v>
      </c>
      <c r="U871" s="16" t="s">
        <v>17</v>
      </c>
      <c r="V871" s="16" t="s">
        <v>6949</v>
      </c>
      <c r="W871" s="16" t="s">
        <v>17</v>
      </c>
      <c r="X871" s="16" t="s">
        <v>8438</v>
      </c>
      <c r="Y871" s="16" t="s">
        <v>17</v>
      </c>
      <c r="Z871" s="16" t="s">
        <v>6926</v>
      </c>
    </row>
    <row r="872" spans="1:26" x14ac:dyDescent="0.3">
      <c r="A872" s="16">
        <v>871</v>
      </c>
      <c r="B872" s="16" t="s">
        <v>7789</v>
      </c>
      <c r="C872" s="17">
        <v>9780071635721</v>
      </c>
      <c r="D872" s="17">
        <v>9780071635721</v>
      </c>
      <c r="E872" s="16" t="s">
        <v>6920</v>
      </c>
      <c r="F872" s="16" t="s">
        <v>17</v>
      </c>
      <c r="G872" s="16" t="s">
        <v>17</v>
      </c>
      <c r="H872" s="16" t="s">
        <v>17</v>
      </c>
      <c r="I872" s="16" t="s">
        <v>17</v>
      </c>
      <c r="J872" s="16" t="s">
        <v>17</v>
      </c>
      <c r="K872" s="16" t="s">
        <v>766</v>
      </c>
      <c r="L872" s="16" t="s">
        <v>17</v>
      </c>
      <c r="M872" s="16" t="s">
        <v>7789</v>
      </c>
      <c r="N872" s="16" t="s">
        <v>17</v>
      </c>
      <c r="O872" s="16" t="s">
        <v>6921</v>
      </c>
      <c r="P872" s="16" t="s">
        <v>17</v>
      </c>
      <c r="Q872" s="16" t="s">
        <v>6922</v>
      </c>
      <c r="R872" s="16" t="s">
        <v>6923</v>
      </c>
      <c r="S872" s="16" t="s">
        <v>17</v>
      </c>
      <c r="T872" s="16" t="s">
        <v>6920</v>
      </c>
      <c r="U872" s="16" t="s">
        <v>17</v>
      </c>
      <c r="V872" s="16" t="s">
        <v>6929</v>
      </c>
      <c r="W872" s="16" t="s">
        <v>765</v>
      </c>
      <c r="X872" s="16" t="s">
        <v>7789</v>
      </c>
      <c r="Y872" s="16" t="s">
        <v>17</v>
      </c>
      <c r="Z872" s="16" t="s">
        <v>6926</v>
      </c>
    </row>
    <row r="873" spans="1:26" x14ac:dyDescent="0.3">
      <c r="A873" s="16">
        <v>872</v>
      </c>
      <c r="B873" s="16" t="s">
        <v>7008</v>
      </c>
      <c r="C873" s="17">
        <v>9780071354714</v>
      </c>
      <c r="D873" s="17">
        <v>9780071354714</v>
      </c>
      <c r="E873" s="16" t="s">
        <v>6920</v>
      </c>
      <c r="F873" s="16" t="s">
        <v>17</v>
      </c>
      <c r="G873" s="16" t="s">
        <v>17</v>
      </c>
      <c r="H873" s="16" t="s">
        <v>17</v>
      </c>
      <c r="I873" s="16" t="s">
        <v>17</v>
      </c>
      <c r="J873" s="16" t="s">
        <v>17</v>
      </c>
      <c r="K873" s="16" t="s">
        <v>78</v>
      </c>
      <c r="L873" s="16" t="s">
        <v>17</v>
      </c>
      <c r="M873" s="16" t="s">
        <v>7008</v>
      </c>
      <c r="N873" s="16" t="s">
        <v>17</v>
      </c>
      <c r="O873" s="16" t="s">
        <v>6921</v>
      </c>
      <c r="P873" s="16" t="s">
        <v>17</v>
      </c>
      <c r="Q873" s="16" t="s">
        <v>6922</v>
      </c>
      <c r="R873" s="16" t="s">
        <v>6923</v>
      </c>
      <c r="S873" s="16" t="s">
        <v>17</v>
      </c>
      <c r="T873" s="16" t="s">
        <v>6920</v>
      </c>
      <c r="U873" s="16" t="s">
        <v>17</v>
      </c>
      <c r="V873" s="16" t="s">
        <v>6929</v>
      </c>
      <c r="W873" s="16" t="s">
        <v>7009</v>
      </c>
      <c r="X873" s="16" t="s">
        <v>7008</v>
      </c>
      <c r="Y873" s="16" t="s">
        <v>17</v>
      </c>
      <c r="Z873" s="16" t="s">
        <v>6926</v>
      </c>
    </row>
    <row r="874" spans="1:26" x14ac:dyDescent="0.3">
      <c r="A874" s="16">
        <v>873</v>
      </c>
      <c r="B874" s="16" t="s">
        <v>8213</v>
      </c>
      <c r="C874" s="17">
        <v>9780071767187</v>
      </c>
      <c r="D874" s="17">
        <v>9780071767187</v>
      </c>
      <c r="E874" s="16" t="s">
        <v>7627</v>
      </c>
      <c r="F874" s="16" t="s">
        <v>17</v>
      </c>
      <c r="G874" s="16" t="s">
        <v>17</v>
      </c>
      <c r="H874" s="16" t="s">
        <v>17</v>
      </c>
      <c r="I874" s="16" t="s">
        <v>17</v>
      </c>
      <c r="J874" s="16" t="s">
        <v>17</v>
      </c>
      <c r="K874" s="16" t="s">
        <v>1293</v>
      </c>
      <c r="L874" s="16" t="s">
        <v>8214</v>
      </c>
      <c r="M874" s="16" t="s">
        <v>8213</v>
      </c>
      <c r="N874" s="16" t="s">
        <v>17</v>
      </c>
      <c r="O874" s="16" t="s">
        <v>6921</v>
      </c>
      <c r="P874" s="16" t="s">
        <v>17</v>
      </c>
      <c r="Q874" s="16" t="s">
        <v>6922</v>
      </c>
      <c r="R874" s="16" t="s">
        <v>6923</v>
      </c>
      <c r="S874" s="16" t="s">
        <v>17</v>
      </c>
      <c r="T874" s="16" t="s">
        <v>7627</v>
      </c>
      <c r="U874" s="16" t="s">
        <v>17</v>
      </c>
      <c r="V874" s="16" t="s">
        <v>6929</v>
      </c>
      <c r="W874" s="16" t="s">
        <v>17</v>
      </c>
      <c r="X874" s="16" t="s">
        <v>8213</v>
      </c>
      <c r="Y874" s="16" t="s">
        <v>17</v>
      </c>
      <c r="Z874" s="16" t="s">
        <v>6926</v>
      </c>
    </row>
    <row r="875" spans="1:26" x14ac:dyDescent="0.3">
      <c r="A875" s="16">
        <v>874</v>
      </c>
      <c r="B875" s="16" t="s">
        <v>7887</v>
      </c>
      <c r="C875" s="17">
        <v>9781260143836</v>
      </c>
      <c r="D875" s="17">
        <v>9781260143836</v>
      </c>
      <c r="E875" s="16" t="s">
        <v>7655</v>
      </c>
      <c r="F875" s="16" t="s">
        <v>17</v>
      </c>
      <c r="G875" s="16" t="s">
        <v>17</v>
      </c>
      <c r="H875" s="16" t="s">
        <v>17</v>
      </c>
      <c r="I875" s="16" t="s">
        <v>17</v>
      </c>
      <c r="J875" s="16" t="s">
        <v>17</v>
      </c>
      <c r="K875" s="16" t="s">
        <v>887</v>
      </c>
      <c r="L875" s="16" t="s">
        <v>886</v>
      </c>
      <c r="M875" s="16" t="s">
        <v>7887</v>
      </c>
      <c r="N875" s="16" t="s">
        <v>17</v>
      </c>
      <c r="O875" s="16" t="s">
        <v>6921</v>
      </c>
      <c r="P875" s="16" t="s">
        <v>17</v>
      </c>
      <c r="Q875" s="16" t="s">
        <v>6922</v>
      </c>
      <c r="R875" s="16" t="s">
        <v>6923</v>
      </c>
      <c r="S875" s="16" t="s">
        <v>17</v>
      </c>
      <c r="T875" s="16" t="s">
        <v>7655</v>
      </c>
      <c r="U875" s="16" t="s">
        <v>17</v>
      </c>
      <c r="V875" s="16" t="s">
        <v>6929</v>
      </c>
      <c r="W875" s="16" t="s">
        <v>17</v>
      </c>
      <c r="X875" s="16" t="s">
        <v>7887</v>
      </c>
      <c r="Y875" s="16" t="s">
        <v>17</v>
      </c>
      <c r="Z875" s="16" t="s">
        <v>6926</v>
      </c>
    </row>
    <row r="876" spans="1:26" x14ac:dyDescent="0.3">
      <c r="A876" s="16">
        <v>875</v>
      </c>
      <c r="B876" s="16" t="s">
        <v>8279</v>
      </c>
      <c r="C876" s="17">
        <v>9780071788557</v>
      </c>
      <c r="D876" s="17">
        <v>9780071788557</v>
      </c>
      <c r="E876" s="16" t="s">
        <v>7896</v>
      </c>
      <c r="F876" s="16" t="s">
        <v>17</v>
      </c>
      <c r="G876" s="16" t="s">
        <v>17</v>
      </c>
      <c r="H876" s="16" t="s">
        <v>17</v>
      </c>
      <c r="I876" s="16" t="s">
        <v>17</v>
      </c>
      <c r="J876" s="16" t="s">
        <v>17</v>
      </c>
      <c r="K876" s="16" t="s">
        <v>1344</v>
      </c>
      <c r="L876" s="16" t="s">
        <v>1343</v>
      </c>
      <c r="M876" s="16" t="s">
        <v>8279</v>
      </c>
      <c r="N876" s="16" t="s">
        <v>17</v>
      </c>
      <c r="O876" s="16" t="s">
        <v>6921</v>
      </c>
      <c r="P876" s="16" t="s">
        <v>17</v>
      </c>
      <c r="Q876" s="16" t="s">
        <v>6922</v>
      </c>
      <c r="R876" s="16" t="s">
        <v>6923</v>
      </c>
      <c r="S876" s="16" t="s">
        <v>17</v>
      </c>
      <c r="T876" s="16" t="s">
        <v>7896</v>
      </c>
      <c r="U876" s="16" t="s">
        <v>17</v>
      </c>
      <c r="V876" s="16" t="s">
        <v>6929</v>
      </c>
      <c r="W876" s="16" t="s">
        <v>17</v>
      </c>
      <c r="X876" s="16" t="s">
        <v>8279</v>
      </c>
      <c r="Y876" s="16" t="s">
        <v>17</v>
      </c>
      <c r="Z876" s="16" t="s">
        <v>6926</v>
      </c>
    </row>
    <row r="877" spans="1:26" x14ac:dyDescent="0.3">
      <c r="A877" s="16">
        <v>876</v>
      </c>
      <c r="B877" s="16" t="s">
        <v>7951</v>
      </c>
      <c r="C877" s="17">
        <v>9780071813082</v>
      </c>
      <c r="D877" s="17">
        <v>9780071813082</v>
      </c>
      <c r="E877" s="16" t="s">
        <v>6939</v>
      </c>
      <c r="F877" s="16" t="s">
        <v>17</v>
      </c>
      <c r="G877" s="16" t="s">
        <v>17</v>
      </c>
      <c r="H877" s="16" t="s">
        <v>17</v>
      </c>
      <c r="I877" s="16" t="s">
        <v>17</v>
      </c>
      <c r="J877" s="16" t="s">
        <v>17</v>
      </c>
      <c r="K877" s="16" t="s">
        <v>974</v>
      </c>
      <c r="L877" s="16" t="s">
        <v>973</v>
      </c>
      <c r="M877" s="16" t="s">
        <v>7951</v>
      </c>
      <c r="N877" s="16" t="s">
        <v>17</v>
      </c>
      <c r="O877" s="16" t="s">
        <v>6921</v>
      </c>
      <c r="P877" s="16" t="s">
        <v>17</v>
      </c>
      <c r="Q877" s="16" t="s">
        <v>6922</v>
      </c>
      <c r="R877" s="16" t="s">
        <v>6923</v>
      </c>
      <c r="S877" s="16" t="s">
        <v>17</v>
      </c>
      <c r="T877" s="16" t="s">
        <v>6939</v>
      </c>
      <c r="U877" s="16" t="s">
        <v>17</v>
      </c>
      <c r="V877" s="16" t="s">
        <v>6924</v>
      </c>
      <c r="W877" s="16" t="s">
        <v>17</v>
      </c>
      <c r="X877" s="16" t="s">
        <v>7951</v>
      </c>
      <c r="Y877" s="16" t="s">
        <v>17</v>
      </c>
      <c r="Z877" s="16" t="s">
        <v>6926</v>
      </c>
    </row>
    <row r="878" spans="1:26" x14ac:dyDescent="0.3">
      <c r="A878" s="16">
        <v>877</v>
      </c>
      <c r="B878" s="16" t="s">
        <v>8272</v>
      </c>
      <c r="C878" s="17">
        <v>9780071767927</v>
      </c>
      <c r="D878" s="17">
        <v>9780071767927</v>
      </c>
      <c r="E878" s="16" t="s">
        <v>8273</v>
      </c>
      <c r="F878" s="16" t="s">
        <v>17</v>
      </c>
      <c r="G878" s="16" t="s">
        <v>17</v>
      </c>
      <c r="H878" s="16" t="s">
        <v>17</v>
      </c>
      <c r="I878" s="16" t="s">
        <v>17</v>
      </c>
      <c r="J878" s="16" t="s">
        <v>17</v>
      </c>
      <c r="K878" s="16" t="s">
        <v>1340</v>
      </c>
      <c r="L878" s="16" t="s">
        <v>8274</v>
      </c>
      <c r="M878" s="16" t="s">
        <v>8272</v>
      </c>
      <c r="N878" s="16" t="s">
        <v>17</v>
      </c>
      <c r="O878" s="16" t="s">
        <v>6921</v>
      </c>
      <c r="P878" s="16" t="s">
        <v>17</v>
      </c>
      <c r="Q878" s="16" t="s">
        <v>6922</v>
      </c>
      <c r="R878" s="16" t="s">
        <v>6923</v>
      </c>
      <c r="S878" s="16" t="s">
        <v>17</v>
      </c>
      <c r="T878" s="16" t="s">
        <v>8273</v>
      </c>
      <c r="U878" s="16" t="s">
        <v>17</v>
      </c>
      <c r="V878" s="16" t="s">
        <v>6929</v>
      </c>
      <c r="W878" s="16" t="s">
        <v>17</v>
      </c>
      <c r="X878" s="16" t="s">
        <v>8272</v>
      </c>
      <c r="Y878" s="16" t="s">
        <v>17</v>
      </c>
      <c r="Z878" s="16" t="s">
        <v>6926</v>
      </c>
    </row>
    <row r="879" spans="1:26" x14ac:dyDescent="0.3">
      <c r="A879" s="16">
        <v>878</v>
      </c>
      <c r="B879" s="16" t="s">
        <v>8066</v>
      </c>
      <c r="C879" s="17">
        <v>9780071794282</v>
      </c>
      <c r="D879" s="17">
        <v>9780071794282</v>
      </c>
      <c r="E879" s="16" t="s">
        <v>7571</v>
      </c>
      <c r="F879" s="16" t="s">
        <v>17</v>
      </c>
      <c r="G879" s="16" t="s">
        <v>17</v>
      </c>
      <c r="H879" s="16" t="s">
        <v>17</v>
      </c>
      <c r="I879" s="16" t="s">
        <v>17</v>
      </c>
      <c r="J879" s="16" t="s">
        <v>17</v>
      </c>
      <c r="K879" s="16" t="s">
        <v>1144</v>
      </c>
      <c r="L879" s="16" t="s">
        <v>1143</v>
      </c>
      <c r="M879" s="16" t="s">
        <v>8066</v>
      </c>
      <c r="N879" s="16" t="s">
        <v>17</v>
      </c>
      <c r="O879" s="16" t="s">
        <v>6921</v>
      </c>
      <c r="P879" s="16" t="s">
        <v>17</v>
      </c>
      <c r="Q879" s="16" t="s">
        <v>6922</v>
      </c>
      <c r="R879" s="16" t="s">
        <v>6923</v>
      </c>
      <c r="S879" s="16" t="s">
        <v>17</v>
      </c>
      <c r="T879" s="16" t="s">
        <v>7571</v>
      </c>
      <c r="U879" s="16" t="s">
        <v>17</v>
      </c>
      <c r="V879" s="16" t="s">
        <v>6924</v>
      </c>
      <c r="W879" s="16" t="s">
        <v>17</v>
      </c>
      <c r="X879" s="16" t="s">
        <v>8066</v>
      </c>
      <c r="Y879" s="16" t="s">
        <v>17</v>
      </c>
      <c r="Z879" s="16" t="s">
        <v>6926</v>
      </c>
    </row>
    <row r="880" spans="1:26" x14ac:dyDescent="0.3">
      <c r="A880" s="16">
        <v>879</v>
      </c>
      <c r="B880" s="16" t="s">
        <v>7855</v>
      </c>
      <c r="C880" s="17">
        <v>9781260115987</v>
      </c>
      <c r="D880" s="17">
        <v>9781260115987</v>
      </c>
      <c r="E880" s="16" t="s">
        <v>7856</v>
      </c>
      <c r="F880" s="16" t="s">
        <v>17</v>
      </c>
      <c r="G880" s="16" t="s">
        <v>17</v>
      </c>
      <c r="H880" s="16" t="s">
        <v>17</v>
      </c>
      <c r="I880" s="16" t="s">
        <v>17</v>
      </c>
      <c r="J880" s="16" t="s">
        <v>17</v>
      </c>
      <c r="K880" s="16" t="s">
        <v>847</v>
      </c>
      <c r="L880" s="16" t="s">
        <v>17</v>
      </c>
      <c r="M880" s="16" t="s">
        <v>7855</v>
      </c>
      <c r="N880" s="16" t="s">
        <v>17</v>
      </c>
      <c r="O880" s="16" t="s">
        <v>6921</v>
      </c>
      <c r="P880" s="16" t="s">
        <v>17</v>
      </c>
      <c r="Q880" s="16" t="s">
        <v>6922</v>
      </c>
      <c r="R880" s="16" t="s">
        <v>6923</v>
      </c>
      <c r="S880" s="16" t="s">
        <v>17</v>
      </c>
      <c r="T880" s="16" t="s">
        <v>7856</v>
      </c>
      <c r="U880" s="16" t="s">
        <v>17</v>
      </c>
      <c r="V880" s="16" t="s">
        <v>6944</v>
      </c>
      <c r="W880" s="16" t="s">
        <v>846</v>
      </c>
      <c r="X880" s="16" t="s">
        <v>7855</v>
      </c>
      <c r="Y880" s="16" t="s">
        <v>17</v>
      </c>
      <c r="Z880" s="16" t="s">
        <v>6926</v>
      </c>
    </row>
    <row r="881" spans="1:26" x14ac:dyDescent="0.3">
      <c r="A881" s="16">
        <v>880</v>
      </c>
      <c r="B881" s="16" t="s">
        <v>7586</v>
      </c>
      <c r="C881" s="17">
        <v>9781264651764</v>
      </c>
      <c r="D881" s="17">
        <v>9781264651764</v>
      </c>
      <c r="E881" s="16" t="s">
        <v>7358</v>
      </c>
      <c r="F881" s="16" t="s">
        <v>17</v>
      </c>
      <c r="G881" s="16" t="s">
        <v>17</v>
      </c>
      <c r="H881" s="16" t="s">
        <v>17</v>
      </c>
      <c r="I881" s="16" t="s">
        <v>17</v>
      </c>
      <c r="J881" s="16" t="s">
        <v>17</v>
      </c>
      <c r="K881" s="16" t="s">
        <v>576</v>
      </c>
      <c r="L881" s="16" t="s">
        <v>7587</v>
      </c>
      <c r="M881" s="16" t="s">
        <v>7586</v>
      </c>
      <c r="N881" s="16" t="s">
        <v>17</v>
      </c>
      <c r="O881" s="16" t="s">
        <v>6921</v>
      </c>
      <c r="P881" s="16" t="s">
        <v>17</v>
      </c>
      <c r="Q881" s="16" t="s">
        <v>6922</v>
      </c>
      <c r="R881" s="16" t="s">
        <v>6923</v>
      </c>
      <c r="S881" s="16" t="s">
        <v>17</v>
      </c>
      <c r="T881" s="16" t="s">
        <v>7358</v>
      </c>
      <c r="U881" s="16" t="s">
        <v>17</v>
      </c>
      <c r="V881" s="16" t="s">
        <v>6924</v>
      </c>
      <c r="W881" s="16" t="s">
        <v>17</v>
      </c>
      <c r="X881" s="16" t="s">
        <v>7586</v>
      </c>
      <c r="Y881" s="16" t="s">
        <v>17</v>
      </c>
      <c r="Z881" s="16" t="s">
        <v>6926</v>
      </c>
    </row>
    <row r="882" spans="1:26" x14ac:dyDescent="0.3">
      <c r="A882" s="16">
        <v>881</v>
      </c>
      <c r="B882" s="16" t="s">
        <v>7586</v>
      </c>
      <c r="C882" s="17">
        <v>9781259641039</v>
      </c>
      <c r="D882" s="17">
        <v>9781259641039</v>
      </c>
      <c r="E882" s="16" t="s">
        <v>7165</v>
      </c>
      <c r="F882" s="16" t="s">
        <v>17</v>
      </c>
      <c r="G882" s="16" t="s">
        <v>17</v>
      </c>
      <c r="H882" s="16" t="s">
        <v>17</v>
      </c>
      <c r="I882" s="16" t="s">
        <v>17</v>
      </c>
      <c r="J882" s="16" t="s">
        <v>17</v>
      </c>
      <c r="K882" s="16" t="s">
        <v>1047</v>
      </c>
      <c r="L882" s="16" t="s">
        <v>7993</v>
      </c>
      <c r="M882" s="16" t="s">
        <v>7586</v>
      </c>
      <c r="N882" s="16" t="s">
        <v>17</v>
      </c>
      <c r="O882" s="16" t="s">
        <v>6921</v>
      </c>
      <c r="P882" s="16" t="s">
        <v>17</v>
      </c>
      <c r="Q882" s="16" t="s">
        <v>6922</v>
      </c>
      <c r="R882" s="16" t="s">
        <v>6923</v>
      </c>
      <c r="S882" s="16" t="s">
        <v>17</v>
      </c>
      <c r="T882" s="16" t="s">
        <v>7165</v>
      </c>
      <c r="U882" s="16" t="s">
        <v>17</v>
      </c>
      <c r="V882" s="16" t="s">
        <v>6929</v>
      </c>
      <c r="W882" s="16" t="s">
        <v>17</v>
      </c>
      <c r="X882" s="16" t="s">
        <v>7586</v>
      </c>
      <c r="Y882" s="16" t="s">
        <v>17</v>
      </c>
      <c r="Z882" s="16" t="s">
        <v>6926</v>
      </c>
    </row>
    <row r="883" spans="1:26" x14ac:dyDescent="0.3">
      <c r="A883" s="16">
        <v>882</v>
      </c>
      <c r="B883" s="16" t="s">
        <v>7292</v>
      </c>
      <c r="C883" s="17">
        <v>9781260128581</v>
      </c>
      <c r="D883" s="17">
        <v>9781260128581</v>
      </c>
      <c r="E883" s="16" t="s">
        <v>7293</v>
      </c>
      <c r="F883" s="16" t="s">
        <v>17</v>
      </c>
      <c r="G883" s="16" t="s">
        <v>17</v>
      </c>
      <c r="H883" s="16" t="s">
        <v>17</v>
      </c>
      <c r="I883" s="16" t="s">
        <v>17</v>
      </c>
      <c r="J883" s="16" t="s">
        <v>17</v>
      </c>
      <c r="K883" s="16" t="s">
        <v>314</v>
      </c>
      <c r="L883" s="16" t="s">
        <v>7294</v>
      </c>
      <c r="M883" s="16" t="s">
        <v>7292</v>
      </c>
      <c r="N883" s="16" t="s">
        <v>17</v>
      </c>
      <c r="O883" s="16" t="s">
        <v>6921</v>
      </c>
      <c r="P883" s="16" t="s">
        <v>17</v>
      </c>
      <c r="Q883" s="16" t="s">
        <v>6922</v>
      </c>
      <c r="R883" s="16" t="s">
        <v>6923</v>
      </c>
      <c r="S883" s="16" t="s">
        <v>17</v>
      </c>
      <c r="T883" s="16" t="s">
        <v>7293</v>
      </c>
      <c r="U883" s="16" t="s">
        <v>17</v>
      </c>
      <c r="V883" s="16" t="s">
        <v>6929</v>
      </c>
      <c r="W883" s="16" t="s">
        <v>17</v>
      </c>
      <c r="X883" s="16" t="s">
        <v>7292</v>
      </c>
      <c r="Y883" s="16" t="s">
        <v>17</v>
      </c>
      <c r="Z883" s="16" t="s">
        <v>6926</v>
      </c>
    </row>
    <row r="884" spans="1:26" x14ac:dyDescent="0.3">
      <c r="A884" s="16">
        <v>883</v>
      </c>
      <c r="B884" s="16" t="s">
        <v>8283</v>
      </c>
      <c r="C884" s="17">
        <v>9780071789738</v>
      </c>
      <c r="D884" s="17">
        <v>9780071789738</v>
      </c>
      <c r="E884" s="16" t="s">
        <v>6968</v>
      </c>
      <c r="F884" s="16" t="s">
        <v>17</v>
      </c>
      <c r="G884" s="16" t="s">
        <v>17</v>
      </c>
      <c r="H884" s="16" t="s">
        <v>17</v>
      </c>
      <c r="I884" s="16" t="s">
        <v>17</v>
      </c>
      <c r="J884" s="16" t="s">
        <v>17</v>
      </c>
      <c r="K884" s="16" t="s">
        <v>1349</v>
      </c>
      <c r="L884" s="16" t="s">
        <v>1348</v>
      </c>
      <c r="M884" s="16" t="s">
        <v>8283</v>
      </c>
      <c r="N884" s="16" t="s">
        <v>17</v>
      </c>
      <c r="O884" s="16" t="s">
        <v>6921</v>
      </c>
      <c r="P884" s="16" t="s">
        <v>17</v>
      </c>
      <c r="Q884" s="16" t="s">
        <v>6922</v>
      </c>
      <c r="R884" s="16" t="s">
        <v>6923</v>
      </c>
      <c r="S884" s="16" t="s">
        <v>17</v>
      </c>
      <c r="T884" s="16" t="s">
        <v>6968</v>
      </c>
      <c r="U884" s="16" t="s">
        <v>17</v>
      </c>
      <c r="V884" s="16" t="s">
        <v>6929</v>
      </c>
      <c r="W884" s="16" t="s">
        <v>17</v>
      </c>
      <c r="X884" s="16" t="s">
        <v>8283</v>
      </c>
      <c r="Y884" s="16" t="s">
        <v>17</v>
      </c>
      <c r="Z884" s="16" t="s">
        <v>6926</v>
      </c>
    </row>
    <row r="885" spans="1:26" x14ac:dyDescent="0.3">
      <c r="A885" s="16">
        <v>884</v>
      </c>
      <c r="B885" s="16" t="s">
        <v>8174</v>
      </c>
      <c r="C885" s="17">
        <v>9781260135626</v>
      </c>
      <c r="D885" s="17">
        <v>9781260135626</v>
      </c>
      <c r="E885" s="16" t="s">
        <v>8175</v>
      </c>
      <c r="F885" s="16" t="s">
        <v>17</v>
      </c>
      <c r="G885" s="16" t="s">
        <v>17</v>
      </c>
      <c r="H885" s="16" t="s">
        <v>17</v>
      </c>
      <c r="I885" s="16" t="s">
        <v>17</v>
      </c>
      <c r="J885" s="16" t="s">
        <v>17</v>
      </c>
      <c r="K885" s="16" t="s">
        <v>1256</v>
      </c>
      <c r="L885" s="16" t="s">
        <v>7536</v>
      </c>
      <c r="M885" s="16" t="s">
        <v>8174</v>
      </c>
      <c r="N885" s="16" t="s">
        <v>17</v>
      </c>
      <c r="O885" s="16" t="s">
        <v>6921</v>
      </c>
      <c r="P885" s="16" t="s">
        <v>17</v>
      </c>
      <c r="Q885" s="16" t="s">
        <v>6922</v>
      </c>
      <c r="R885" s="16" t="s">
        <v>6923</v>
      </c>
      <c r="S885" s="16" t="s">
        <v>17</v>
      </c>
      <c r="T885" s="16" t="s">
        <v>8175</v>
      </c>
      <c r="U885" s="16" t="s">
        <v>17</v>
      </c>
      <c r="V885" s="16" t="s">
        <v>6929</v>
      </c>
      <c r="W885" s="16" t="s">
        <v>17</v>
      </c>
      <c r="X885" s="16" t="s">
        <v>8174</v>
      </c>
      <c r="Y885" s="16" t="s">
        <v>17</v>
      </c>
      <c r="Z885" s="16" t="s">
        <v>6926</v>
      </c>
    </row>
    <row r="886" spans="1:26" x14ac:dyDescent="0.3">
      <c r="A886" s="16">
        <v>885</v>
      </c>
      <c r="B886" s="16" t="s">
        <v>6121</v>
      </c>
      <c r="C886" s="17">
        <v>9781264961702</v>
      </c>
      <c r="D886" s="17">
        <v>9781264961702</v>
      </c>
      <c r="E886" s="16" t="s">
        <v>7535</v>
      </c>
      <c r="F886" s="16" t="s">
        <v>17</v>
      </c>
      <c r="G886" s="16" t="s">
        <v>17</v>
      </c>
      <c r="H886" s="16" t="s">
        <v>17</v>
      </c>
      <c r="I886" s="16" t="s">
        <v>17</v>
      </c>
      <c r="J886" s="16" t="s">
        <v>17</v>
      </c>
      <c r="K886" s="16" t="s">
        <v>530</v>
      </c>
      <c r="L886" s="16" t="s">
        <v>7536</v>
      </c>
      <c r="M886" s="16" t="s">
        <v>6121</v>
      </c>
      <c r="N886" s="16" t="s">
        <v>17</v>
      </c>
      <c r="O886" s="16" t="s">
        <v>6921</v>
      </c>
      <c r="P886" s="16" t="s">
        <v>17</v>
      </c>
      <c r="Q886" s="16" t="s">
        <v>6922</v>
      </c>
      <c r="R886" s="16" t="s">
        <v>6923</v>
      </c>
      <c r="S886" s="16" t="s">
        <v>17</v>
      </c>
      <c r="T886" s="16" t="s">
        <v>7535</v>
      </c>
      <c r="U886" s="16" t="s">
        <v>17</v>
      </c>
      <c r="V886" s="16" t="s">
        <v>6929</v>
      </c>
      <c r="W886" s="16" t="s">
        <v>17</v>
      </c>
      <c r="X886" s="16" t="s">
        <v>6121</v>
      </c>
      <c r="Y886" s="16" t="s">
        <v>17</v>
      </c>
      <c r="Z886" s="16" t="s">
        <v>6926</v>
      </c>
    </row>
    <row r="887" spans="1:26" x14ac:dyDescent="0.3">
      <c r="A887" s="16">
        <v>886</v>
      </c>
      <c r="B887" s="16" t="s">
        <v>8220</v>
      </c>
      <c r="C887" s="17">
        <v>9781260458336</v>
      </c>
      <c r="D887" s="17">
        <v>9781260458336</v>
      </c>
      <c r="E887" s="16" t="s">
        <v>7469</v>
      </c>
      <c r="F887" s="16" t="s">
        <v>17</v>
      </c>
      <c r="G887" s="16" t="s">
        <v>17</v>
      </c>
      <c r="H887" s="16" t="s">
        <v>17</v>
      </c>
      <c r="I887" s="16" t="s">
        <v>17</v>
      </c>
      <c r="J887" s="16" t="s">
        <v>17</v>
      </c>
      <c r="K887" s="16" t="s">
        <v>1299</v>
      </c>
      <c r="L887" s="16" t="s">
        <v>1298</v>
      </c>
      <c r="M887" s="16" t="s">
        <v>8220</v>
      </c>
      <c r="N887" s="16" t="s">
        <v>17</v>
      </c>
      <c r="O887" s="16" t="s">
        <v>6921</v>
      </c>
      <c r="P887" s="16" t="s">
        <v>17</v>
      </c>
      <c r="Q887" s="16" t="s">
        <v>6922</v>
      </c>
      <c r="R887" s="16" t="s">
        <v>6923</v>
      </c>
      <c r="S887" s="16" t="s">
        <v>17</v>
      </c>
      <c r="T887" s="16" t="s">
        <v>7469</v>
      </c>
      <c r="U887" s="16" t="s">
        <v>17</v>
      </c>
      <c r="V887" s="16" t="s">
        <v>6924</v>
      </c>
      <c r="W887" s="16" t="s">
        <v>17</v>
      </c>
      <c r="X887" s="16" t="s">
        <v>8220</v>
      </c>
      <c r="Y887" s="16" t="s">
        <v>17</v>
      </c>
      <c r="Z887" s="16" t="s">
        <v>6926</v>
      </c>
    </row>
    <row r="888" spans="1:26" x14ac:dyDescent="0.3">
      <c r="A888" s="16">
        <v>887</v>
      </c>
      <c r="B888" s="16" t="s">
        <v>8263</v>
      </c>
      <c r="C888" s="17">
        <v>9781260440799</v>
      </c>
      <c r="D888" s="17">
        <v>9781260440799</v>
      </c>
      <c r="E888" s="16" t="s">
        <v>8197</v>
      </c>
      <c r="F888" s="16" t="s">
        <v>17</v>
      </c>
      <c r="G888" s="16" t="s">
        <v>17</v>
      </c>
      <c r="H888" s="16" t="s">
        <v>17</v>
      </c>
      <c r="I888" s="16" t="s">
        <v>17</v>
      </c>
      <c r="J888" s="16" t="s">
        <v>17</v>
      </c>
      <c r="K888" s="16" t="s">
        <v>1335</v>
      </c>
      <c r="L888" s="16" t="s">
        <v>17</v>
      </c>
      <c r="M888" s="16" t="s">
        <v>8263</v>
      </c>
      <c r="N888" s="16" t="s">
        <v>17</v>
      </c>
      <c r="O888" s="16" t="s">
        <v>6921</v>
      </c>
      <c r="P888" s="16" t="s">
        <v>17</v>
      </c>
      <c r="Q888" s="16" t="s">
        <v>6922</v>
      </c>
      <c r="R888" s="16" t="s">
        <v>6923</v>
      </c>
      <c r="S888" s="16" t="s">
        <v>17</v>
      </c>
      <c r="T888" s="16" t="s">
        <v>8197</v>
      </c>
      <c r="U888" s="16" t="s">
        <v>17</v>
      </c>
      <c r="V888" s="16" t="s">
        <v>7072</v>
      </c>
      <c r="W888" s="16" t="s">
        <v>8264</v>
      </c>
      <c r="X888" s="16" t="s">
        <v>8263</v>
      </c>
      <c r="Y888" s="16" t="s">
        <v>17</v>
      </c>
      <c r="Z888" s="16" t="s">
        <v>6926</v>
      </c>
    </row>
    <row r="889" spans="1:26" x14ac:dyDescent="0.3">
      <c r="A889" s="16">
        <v>888</v>
      </c>
      <c r="B889" s="16" t="s">
        <v>1445</v>
      </c>
      <c r="C889" s="17">
        <v>9780071666664</v>
      </c>
      <c r="D889" s="17">
        <v>9780071666664</v>
      </c>
      <c r="E889" s="16" t="s">
        <v>7133</v>
      </c>
      <c r="F889" s="16" t="s">
        <v>17</v>
      </c>
      <c r="G889" s="16" t="s">
        <v>17</v>
      </c>
      <c r="H889" s="16" t="s">
        <v>17</v>
      </c>
      <c r="I889" s="16" t="s">
        <v>17</v>
      </c>
      <c r="J889" s="16" t="s">
        <v>17</v>
      </c>
      <c r="K889" s="16" t="s">
        <v>1447</v>
      </c>
      <c r="L889" s="16" t="s">
        <v>1446</v>
      </c>
      <c r="M889" s="16" t="s">
        <v>1445</v>
      </c>
      <c r="N889" s="16" t="s">
        <v>17</v>
      </c>
      <c r="O889" s="16" t="s">
        <v>6921</v>
      </c>
      <c r="P889" s="16" t="s">
        <v>17</v>
      </c>
      <c r="Q889" s="16" t="s">
        <v>6922</v>
      </c>
      <c r="R889" s="16" t="s">
        <v>6923</v>
      </c>
      <c r="S889" s="16" t="s">
        <v>17</v>
      </c>
      <c r="T889" s="16" t="s">
        <v>7133</v>
      </c>
      <c r="U889" s="16" t="s">
        <v>17</v>
      </c>
      <c r="V889" s="16" t="s">
        <v>7824</v>
      </c>
      <c r="W889" s="16" t="s">
        <v>17</v>
      </c>
      <c r="X889" s="16" t="s">
        <v>1445</v>
      </c>
      <c r="Y889" s="16" t="s">
        <v>17</v>
      </c>
      <c r="Z889" s="16" t="s">
        <v>6926</v>
      </c>
    </row>
    <row r="890" spans="1:26" x14ac:dyDescent="0.3">
      <c r="A890" s="16">
        <v>889</v>
      </c>
      <c r="B890" s="16" t="s">
        <v>8384</v>
      </c>
      <c r="C890" s="17">
        <v>9780071432184</v>
      </c>
      <c r="D890" s="17">
        <v>9780071432184</v>
      </c>
      <c r="E890" s="16" t="s">
        <v>6920</v>
      </c>
      <c r="F890" s="16" t="s">
        <v>17</v>
      </c>
      <c r="G890" s="16" t="s">
        <v>17</v>
      </c>
      <c r="H890" s="16" t="s">
        <v>17</v>
      </c>
      <c r="I890" s="16" t="s">
        <v>17</v>
      </c>
      <c r="J890" s="16" t="s">
        <v>17</v>
      </c>
      <c r="K890" s="16" t="s">
        <v>1546</v>
      </c>
      <c r="L890" s="16" t="s">
        <v>203</v>
      </c>
      <c r="M890" s="16" t="s">
        <v>8384</v>
      </c>
      <c r="N890" s="16" t="s">
        <v>17</v>
      </c>
      <c r="O890" s="16" t="s">
        <v>6921</v>
      </c>
      <c r="P890" s="16" t="s">
        <v>17</v>
      </c>
      <c r="Q890" s="16" t="s">
        <v>6922</v>
      </c>
      <c r="R890" s="16" t="s">
        <v>6923</v>
      </c>
      <c r="S890" s="16" t="s">
        <v>17</v>
      </c>
      <c r="T890" s="16" t="s">
        <v>6920</v>
      </c>
      <c r="U890" s="16" t="s">
        <v>17</v>
      </c>
      <c r="V890" s="16" t="s">
        <v>7431</v>
      </c>
      <c r="W890" s="16" t="s">
        <v>17</v>
      </c>
      <c r="X890" s="16" t="s">
        <v>8384</v>
      </c>
      <c r="Y890" s="16" t="s">
        <v>17</v>
      </c>
      <c r="Z890" s="16" t="s">
        <v>6926</v>
      </c>
    </row>
    <row r="891" spans="1:26" x14ac:dyDescent="0.3">
      <c r="A891" s="16">
        <v>890</v>
      </c>
      <c r="B891" s="16" t="s">
        <v>7606</v>
      </c>
      <c r="C891" s="17">
        <v>9781265169145</v>
      </c>
      <c r="D891" s="17">
        <v>9781265169145</v>
      </c>
      <c r="E891" s="16" t="s">
        <v>7560</v>
      </c>
      <c r="F891" s="16" t="s">
        <v>17</v>
      </c>
      <c r="G891" s="16" t="s">
        <v>17</v>
      </c>
      <c r="H891" s="16" t="s">
        <v>17</v>
      </c>
      <c r="I891" s="16" t="s">
        <v>17</v>
      </c>
      <c r="J891" s="16" t="s">
        <v>17</v>
      </c>
      <c r="K891" s="16" t="s">
        <v>599</v>
      </c>
      <c r="L891" s="16" t="s">
        <v>17</v>
      </c>
      <c r="M891" s="16" t="s">
        <v>7606</v>
      </c>
      <c r="N891" s="16" t="s">
        <v>17</v>
      </c>
      <c r="O891" s="16" t="s">
        <v>6921</v>
      </c>
      <c r="P891" s="16" t="s">
        <v>17</v>
      </c>
      <c r="Q891" s="16" t="s">
        <v>6922</v>
      </c>
      <c r="R891" s="16" t="s">
        <v>6923</v>
      </c>
      <c r="S891" s="16" t="s">
        <v>17</v>
      </c>
      <c r="T891" s="16" t="s">
        <v>7560</v>
      </c>
      <c r="U891" s="16" t="s">
        <v>17</v>
      </c>
      <c r="V891" s="16" t="s">
        <v>6929</v>
      </c>
      <c r="W891" s="16" t="s">
        <v>17</v>
      </c>
      <c r="X891" s="16" t="s">
        <v>7606</v>
      </c>
      <c r="Y891" s="16" t="s">
        <v>17</v>
      </c>
      <c r="Z891" s="16" t="s">
        <v>6926</v>
      </c>
    </row>
    <row r="892" spans="1:26" x14ac:dyDescent="0.3">
      <c r="A892" s="16">
        <v>891</v>
      </c>
      <c r="B892" s="16" t="s">
        <v>7432</v>
      </c>
      <c r="C892" s="17">
        <v>9780071805124</v>
      </c>
      <c r="D892" s="17">
        <v>9780071805124</v>
      </c>
      <c r="E892" s="16" t="s">
        <v>6942</v>
      </c>
      <c r="F892" s="16" t="s">
        <v>17</v>
      </c>
      <c r="G892" s="16" t="s">
        <v>17</v>
      </c>
      <c r="H892" s="16" t="s">
        <v>17</v>
      </c>
      <c r="I892" s="16" t="s">
        <v>17</v>
      </c>
      <c r="J892" s="16" t="s">
        <v>17</v>
      </c>
      <c r="K892" s="16" t="s">
        <v>438</v>
      </c>
      <c r="L892" s="16" t="s">
        <v>7433</v>
      </c>
      <c r="M892" s="16" t="s">
        <v>7432</v>
      </c>
      <c r="N892" s="16" t="s">
        <v>17</v>
      </c>
      <c r="O892" s="16" t="s">
        <v>6921</v>
      </c>
      <c r="P892" s="16" t="s">
        <v>17</v>
      </c>
      <c r="Q892" s="16" t="s">
        <v>6922</v>
      </c>
      <c r="R892" s="16" t="s">
        <v>6923</v>
      </c>
      <c r="S892" s="16" t="s">
        <v>17</v>
      </c>
      <c r="T892" s="16" t="s">
        <v>6942</v>
      </c>
      <c r="U892" s="16" t="s">
        <v>17</v>
      </c>
      <c r="V892" s="16" t="s">
        <v>6929</v>
      </c>
      <c r="W892" s="16" t="s">
        <v>17</v>
      </c>
      <c r="X892" s="16" t="s">
        <v>7432</v>
      </c>
      <c r="Y892" s="16" t="s">
        <v>17</v>
      </c>
      <c r="Z892" s="16" t="s">
        <v>6926</v>
      </c>
    </row>
    <row r="893" spans="1:26" x14ac:dyDescent="0.3">
      <c r="A893" s="16">
        <v>892</v>
      </c>
      <c r="B893" s="16" t="s">
        <v>1041</v>
      </c>
      <c r="C893" s="17">
        <v>9780071375993</v>
      </c>
      <c r="D893" s="17">
        <v>9780071375993</v>
      </c>
      <c r="E893" s="16" t="s">
        <v>6991</v>
      </c>
      <c r="F893" s="16" t="s">
        <v>17</v>
      </c>
      <c r="G893" s="16" t="s">
        <v>17</v>
      </c>
      <c r="H893" s="16" t="s">
        <v>17</v>
      </c>
      <c r="I893" s="16" t="s">
        <v>17</v>
      </c>
      <c r="J893" s="16" t="s">
        <v>17</v>
      </c>
      <c r="K893" s="16" t="s">
        <v>1043</v>
      </c>
      <c r="L893" s="16" t="s">
        <v>1042</v>
      </c>
      <c r="M893" s="16" t="s">
        <v>1041</v>
      </c>
      <c r="N893" s="16" t="s">
        <v>17</v>
      </c>
      <c r="O893" s="16" t="s">
        <v>6921</v>
      </c>
      <c r="P893" s="16" t="s">
        <v>17</v>
      </c>
      <c r="Q893" s="16" t="s">
        <v>6922</v>
      </c>
      <c r="R893" s="16" t="s">
        <v>6923</v>
      </c>
      <c r="S893" s="16" t="s">
        <v>17</v>
      </c>
      <c r="T893" s="16" t="s">
        <v>6991</v>
      </c>
      <c r="U893" s="16" t="s">
        <v>17</v>
      </c>
      <c r="V893" s="16" t="s">
        <v>7049</v>
      </c>
      <c r="W893" s="16" t="s">
        <v>17</v>
      </c>
      <c r="X893" s="16" t="s">
        <v>1041</v>
      </c>
      <c r="Y893" s="16" t="s">
        <v>17</v>
      </c>
      <c r="Z893" s="16" t="s">
        <v>6926</v>
      </c>
    </row>
    <row r="894" spans="1:26" x14ac:dyDescent="0.3">
      <c r="A894" s="16">
        <v>893</v>
      </c>
      <c r="B894" s="16" t="s">
        <v>8374</v>
      </c>
      <c r="C894" s="17">
        <v>9780071842808</v>
      </c>
      <c r="D894" s="17">
        <v>9780071842808</v>
      </c>
      <c r="E894" s="16" t="s">
        <v>8116</v>
      </c>
      <c r="F894" s="16" t="s">
        <v>17</v>
      </c>
      <c r="G894" s="16" t="s">
        <v>17</v>
      </c>
      <c r="H894" s="16" t="s">
        <v>17</v>
      </c>
      <c r="I894" s="16" t="s">
        <v>17</v>
      </c>
      <c r="J894" s="16" t="s">
        <v>17</v>
      </c>
      <c r="K894" s="16" t="s">
        <v>1532</v>
      </c>
      <c r="L894" s="16" t="s">
        <v>8375</v>
      </c>
      <c r="M894" s="16" t="s">
        <v>8374</v>
      </c>
      <c r="N894" s="16" t="s">
        <v>17</v>
      </c>
      <c r="O894" s="16" t="s">
        <v>6921</v>
      </c>
      <c r="P894" s="16" t="s">
        <v>17</v>
      </c>
      <c r="Q894" s="16" t="s">
        <v>6922</v>
      </c>
      <c r="R894" s="16" t="s">
        <v>6923</v>
      </c>
      <c r="S894" s="16" t="s">
        <v>17</v>
      </c>
      <c r="T894" s="16" t="s">
        <v>8116</v>
      </c>
      <c r="U894" s="16" t="s">
        <v>17</v>
      </c>
      <c r="V894" s="16" t="s">
        <v>6924</v>
      </c>
      <c r="W894" s="16" t="s">
        <v>17</v>
      </c>
      <c r="X894" s="16" t="s">
        <v>8374</v>
      </c>
      <c r="Y894" s="16" t="s">
        <v>17</v>
      </c>
      <c r="Z894" s="16" t="s">
        <v>6926</v>
      </c>
    </row>
    <row r="895" spans="1:26" x14ac:dyDescent="0.3">
      <c r="A895" s="16">
        <v>894</v>
      </c>
      <c r="B895" s="16" t="s">
        <v>7143</v>
      </c>
      <c r="C895" s="17">
        <v>9780071445139</v>
      </c>
      <c r="D895" s="17">
        <v>9780071445139</v>
      </c>
      <c r="E895" s="16" t="s">
        <v>7144</v>
      </c>
      <c r="F895" s="16" t="s">
        <v>17</v>
      </c>
      <c r="G895" s="16" t="s">
        <v>17</v>
      </c>
      <c r="H895" s="16" t="s">
        <v>17</v>
      </c>
      <c r="I895" s="16" t="s">
        <v>17</v>
      </c>
      <c r="J895" s="16" t="s">
        <v>17</v>
      </c>
      <c r="K895" s="16" t="s">
        <v>198</v>
      </c>
      <c r="L895" s="16" t="s">
        <v>17</v>
      </c>
      <c r="M895" s="16" t="s">
        <v>7143</v>
      </c>
      <c r="N895" s="16" t="s">
        <v>17</v>
      </c>
      <c r="O895" s="16" t="s">
        <v>6921</v>
      </c>
      <c r="P895" s="16" t="s">
        <v>17</v>
      </c>
      <c r="Q895" s="16" t="s">
        <v>6922</v>
      </c>
      <c r="R895" s="16" t="s">
        <v>6923</v>
      </c>
      <c r="S895" s="16" t="s">
        <v>17</v>
      </c>
      <c r="T895" s="16" t="s">
        <v>7144</v>
      </c>
      <c r="U895" s="16" t="s">
        <v>17</v>
      </c>
      <c r="V895" s="16" t="s">
        <v>7145</v>
      </c>
      <c r="W895" s="16" t="s">
        <v>7146</v>
      </c>
      <c r="X895" s="16" t="s">
        <v>7143</v>
      </c>
      <c r="Y895" s="16" t="s">
        <v>17</v>
      </c>
      <c r="Z895" s="16" t="s">
        <v>6926</v>
      </c>
    </row>
    <row r="896" spans="1:26" x14ac:dyDescent="0.3">
      <c r="A896" s="16">
        <v>895</v>
      </c>
      <c r="B896" s="16" t="s">
        <v>7461</v>
      </c>
      <c r="C896" s="17">
        <v>9780071475730</v>
      </c>
      <c r="D896" s="17">
        <v>9780071475730</v>
      </c>
      <c r="E896" s="16" t="s">
        <v>7063</v>
      </c>
      <c r="F896" s="16" t="s">
        <v>17</v>
      </c>
      <c r="G896" s="16" t="s">
        <v>17</v>
      </c>
      <c r="H896" s="16" t="s">
        <v>17</v>
      </c>
      <c r="I896" s="16" t="s">
        <v>17</v>
      </c>
      <c r="J896" s="16" t="s">
        <v>17</v>
      </c>
      <c r="K896" s="16" t="s">
        <v>469</v>
      </c>
      <c r="L896" s="16" t="s">
        <v>7462</v>
      </c>
      <c r="M896" s="16" t="s">
        <v>7461</v>
      </c>
      <c r="N896" s="16" t="s">
        <v>17</v>
      </c>
      <c r="O896" s="16" t="s">
        <v>6921</v>
      </c>
      <c r="P896" s="16" t="s">
        <v>17</v>
      </c>
      <c r="Q896" s="16" t="s">
        <v>6922</v>
      </c>
      <c r="R896" s="16" t="s">
        <v>6923</v>
      </c>
      <c r="S896" s="16" t="s">
        <v>17</v>
      </c>
      <c r="T896" s="16" t="s">
        <v>7063</v>
      </c>
      <c r="U896" s="16" t="s">
        <v>17</v>
      </c>
      <c r="V896" s="16" t="s">
        <v>6929</v>
      </c>
      <c r="W896" s="16" t="s">
        <v>17</v>
      </c>
      <c r="X896" s="16" t="s">
        <v>7461</v>
      </c>
      <c r="Y896" s="16" t="s">
        <v>17</v>
      </c>
      <c r="Z896" s="16" t="s">
        <v>6926</v>
      </c>
    </row>
    <row r="897" spans="1:26" x14ac:dyDescent="0.3">
      <c r="A897" s="16">
        <v>896</v>
      </c>
      <c r="B897" s="16" t="s">
        <v>7703</v>
      </c>
      <c r="C897" s="17">
        <v>9781265012816</v>
      </c>
      <c r="D897" s="17">
        <v>9781265012816</v>
      </c>
      <c r="E897" s="16" t="s">
        <v>7704</v>
      </c>
      <c r="F897" s="16" t="s">
        <v>17</v>
      </c>
      <c r="G897" s="16" t="s">
        <v>17</v>
      </c>
      <c r="H897" s="16" t="s">
        <v>17</v>
      </c>
      <c r="I897" s="16" t="s">
        <v>17</v>
      </c>
      <c r="J897" s="16" t="s">
        <v>17</v>
      </c>
      <c r="K897" s="16" t="s">
        <v>692</v>
      </c>
      <c r="L897" s="16" t="s">
        <v>7705</v>
      </c>
      <c r="M897" s="16" t="s">
        <v>7703</v>
      </c>
      <c r="N897" s="16" t="s">
        <v>17</v>
      </c>
      <c r="O897" s="16" t="s">
        <v>6921</v>
      </c>
      <c r="P897" s="16" t="s">
        <v>17</v>
      </c>
      <c r="Q897" s="16" t="s">
        <v>6922</v>
      </c>
      <c r="R897" s="16" t="s">
        <v>6923</v>
      </c>
      <c r="S897" s="16" t="s">
        <v>17</v>
      </c>
      <c r="T897" s="16" t="s">
        <v>7704</v>
      </c>
      <c r="U897" s="16" t="s">
        <v>17</v>
      </c>
      <c r="V897" s="16" t="s">
        <v>6929</v>
      </c>
      <c r="W897" s="16" t="s">
        <v>17</v>
      </c>
      <c r="X897" s="16" t="s">
        <v>7703</v>
      </c>
      <c r="Y897" s="16" t="s">
        <v>17</v>
      </c>
      <c r="Z897" s="16" t="s">
        <v>6926</v>
      </c>
    </row>
    <row r="898" spans="1:26" x14ac:dyDescent="0.3">
      <c r="A898" s="16">
        <v>897</v>
      </c>
      <c r="B898" s="16" t="s">
        <v>7679</v>
      </c>
      <c r="C898" s="17">
        <v>9780071605540</v>
      </c>
      <c r="D898" s="17">
        <v>9780071605540</v>
      </c>
      <c r="E898" s="16" t="s">
        <v>6920</v>
      </c>
      <c r="F898" s="16" t="s">
        <v>17</v>
      </c>
      <c r="G898" s="16" t="s">
        <v>17</v>
      </c>
      <c r="H898" s="16" t="s">
        <v>17</v>
      </c>
      <c r="I898" s="16" t="s">
        <v>17</v>
      </c>
      <c r="J898" s="16" t="s">
        <v>17</v>
      </c>
      <c r="K898" s="16" t="s">
        <v>671</v>
      </c>
      <c r="L898" s="16" t="s">
        <v>670</v>
      </c>
      <c r="M898" s="16" t="s">
        <v>7679</v>
      </c>
      <c r="N898" s="16" t="s">
        <v>17</v>
      </c>
      <c r="O898" s="16" t="s">
        <v>6921</v>
      </c>
      <c r="P898" s="16" t="s">
        <v>17</v>
      </c>
      <c r="Q898" s="16" t="s">
        <v>6922</v>
      </c>
      <c r="R898" s="16" t="s">
        <v>6923</v>
      </c>
      <c r="S898" s="16" t="s">
        <v>17</v>
      </c>
      <c r="T898" s="16" t="s">
        <v>6920</v>
      </c>
      <c r="U898" s="16" t="s">
        <v>17</v>
      </c>
      <c r="V898" s="16" t="s">
        <v>6929</v>
      </c>
      <c r="W898" s="16" t="s">
        <v>17</v>
      </c>
      <c r="X898" s="16" t="s">
        <v>7679</v>
      </c>
      <c r="Y898" s="16" t="s">
        <v>17</v>
      </c>
      <c r="Z898" s="16" t="s">
        <v>6926</v>
      </c>
    </row>
    <row r="899" spans="1:26" x14ac:dyDescent="0.3">
      <c r="A899" s="16">
        <v>898</v>
      </c>
      <c r="B899" s="16" t="s">
        <v>7476</v>
      </c>
      <c r="C899" s="17">
        <v>9780071473590</v>
      </c>
      <c r="D899" s="17">
        <v>9780071473590</v>
      </c>
      <c r="E899" s="16" t="s">
        <v>6947</v>
      </c>
      <c r="F899" s="16" t="s">
        <v>17</v>
      </c>
      <c r="G899" s="16" t="s">
        <v>17</v>
      </c>
      <c r="H899" s="16" t="s">
        <v>17</v>
      </c>
      <c r="I899" s="16" t="s">
        <v>17</v>
      </c>
      <c r="J899" s="16" t="s">
        <v>17</v>
      </c>
      <c r="K899" s="16" t="s">
        <v>482</v>
      </c>
      <c r="L899" s="16" t="s">
        <v>481</v>
      </c>
      <c r="M899" s="16" t="s">
        <v>7476</v>
      </c>
      <c r="N899" s="16" t="s">
        <v>17</v>
      </c>
      <c r="O899" s="16" t="s">
        <v>6921</v>
      </c>
      <c r="P899" s="16" t="s">
        <v>17</v>
      </c>
      <c r="Q899" s="16" t="s">
        <v>6922</v>
      </c>
      <c r="R899" s="16" t="s">
        <v>6923</v>
      </c>
      <c r="S899" s="16" t="s">
        <v>17</v>
      </c>
      <c r="T899" s="16" t="s">
        <v>6947</v>
      </c>
      <c r="U899" s="16" t="s">
        <v>17</v>
      </c>
      <c r="V899" s="16" t="s">
        <v>6929</v>
      </c>
      <c r="W899" s="16" t="s">
        <v>17</v>
      </c>
      <c r="X899" s="16" t="s">
        <v>7476</v>
      </c>
      <c r="Y899" s="16" t="s">
        <v>17</v>
      </c>
      <c r="Z899" s="16" t="s">
        <v>6926</v>
      </c>
    </row>
    <row r="900" spans="1:26" x14ac:dyDescent="0.3">
      <c r="A900" s="16">
        <v>899</v>
      </c>
      <c r="B900" s="16" t="s">
        <v>7778</v>
      </c>
      <c r="C900" s="17">
        <v>9780071469821</v>
      </c>
      <c r="D900" s="17">
        <v>9780071469821</v>
      </c>
      <c r="E900" s="16" t="s">
        <v>6947</v>
      </c>
      <c r="F900" s="16" t="s">
        <v>17</v>
      </c>
      <c r="G900" s="16" t="s">
        <v>17</v>
      </c>
      <c r="H900" s="16" t="s">
        <v>17</v>
      </c>
      <c r="I900" s="16" t="s">
        <v>17</v>
      </c>
      <c r="J900" s="16" t="s">
        <v>17</v>
      </c>
      <c r="K900" s="16" t="s">
        <v>755</v>
      </c>
      <c r="L900" s="16" t="s">
        <v>481</v>
      </c>
      <c r="M900" s="16" t="s">
        <v>7778</v>
      </c>
      <c r="N900" s="16" t="s">
        <v>17</v>
      </c>
      <c r="O900" s="16" t="s">
        <v>6921</v>
      </c>
      <c r="P900" s="16" t="s">
        <v>17</v>
      </c>
      <c r="Q900" s="16" t="s">
        <v>6922</v>
      </c>
      <c r="R900" s="16" t="s">
        <v>6923</v>
      </c>
      <c r="S900" s="16" t="s">
        <v>17</v>
      </c>
      <c r="T900" s="16" t="s">
        <v>6947</v>
      </c>
      <c r="U900" s="16" t="s">
        <v>17</v>
      </c>
      <c r="V900" s="16" t="s">
        <v>6929</v>
      </c>
      <c r="W900" s="16" t="s">
        <v>17</v>
      </c>
      <c r="X900" s="16" t="s">
        <v>7778</v>
      </c>
      <c r="Y900" s="16" t="s">
        <v>17</v>
      </c>
      <c r="Z900" s="16" t="s">
        <v>6926</v>
      </c>
    </row>
    <row r="901" spans="1:26" x14ac:dyDescent="0.3">
      <c r="A901" s="16">
        <v>900</v>
      </c>
      <c r="B901" s="16" t="s">
        <v>8331</v>
      </c>
      <c r="C901" s="17">
        <v>9780071603171</v>
      </c>
      <c r="D901" s="17">
        <v>9780071603171</v>
      </c>
      <c r="E901" s="16" t="s">
        <v>6920</v>
      </c>
      <c r="F901" s="16" t="s">
        <v>17</v>
      </c>
      <c r="G901" s="16" t="s">
        <v>17</v>
      </c>
      <c r="H901" s="16" t="s">
        <v>17</v>
      </c>
      <c r="I901" s="16" t="s">
        <v>17</v>
      </c>
      <c r="J901" s="16" t="s">
        <v>17</v>
      </c>
      <c r="K901" s="16" t="s">
        <v>1410</v>
      </c>
      <c r="L901" s="16" t="s">
        <v>17</v>
      </c>
      <c r="M901" s="16" t="s">
        <v>8331</v>
      </c>
      <c r="N901" s="16" t="s">
        <v>17</v>
      </c>
      <c r="O901" s="16" t="s">
        <v>6921</v>
      </c>
      <c r="P901" s="16" t="s">
        <v>17</v>
      </c>
      <c r="Q901" s="16" t="s">
        <v>6922</v>
      </c>
      <c r="R901" s="16" t="s">
        <v>6923</v>
      </c>
      <c r="S901" s="16" t="s">
        <v>17</v>
      </c>
      <c r="T901" s="16" t="s">
        <v>6920</v>
      </c>
      <c r="U901" s="16" t="s">
        <v>17</v>
      </c>
      <c r="V901" s="16" t="s">
        <v>6929</v>
      </c>
      <c r="W901" s="16" t="s">
        <v>1409</v>
      </c>
      <c r="X901" s="16" t="s">
        <v>8331</v>
      </c>
      <c r="Y901" s="16" t="s">
        <v>17</v>
      </c>
      <c r="Z901" s="16" t="s">
        <v>6926</v>
      </c>
    </row>
    <row r="902" spans="1:26" x14ac:dyDescent="0.3">
      <c r="A902" s="16">
        <v>901</v>
      </c>
      <c r="B902" s="16" t="s">
        <v>8301</v>
      </c>
      <c r="C902" s="17">
        <v>9780071752978</v>
      </c>
      <c r="D902" s="17">
        <v>9780071752978</v>
      </c>
      <c r="E902" s="16" t="s">
        <v>8302</v>
      </c>
      <c r="F902" s="16" t="s">
        <v>17</v>
      </c>
      <c r="G902" s="16" t="s">
        <v>17</v>
      </c>
      <c r="H902" s="16" t="s">
        <v>17</v>
      </c>
      <c r="I902" s="16" t="s">
        <v>17</v>
      </c>
      <c r="J902" s="16" t="s">
        <v>17</v>
      </c>
      <c r="K902" s="16" t="s">
        <v>1361</v>
      </c>
      <c r="L902" s="16" t="s">
        <v>8303</v>
      </c>
      <c r="M902" s="16" t="s">
        <v>8301</v>
      </c>
      <c r="N902" s="16" t="s">
        <v>17</v>
      </c>
      <c r="O902" s="16" t="s">
        <v>6921</v>
      </c>
      <c r="P902" s="16" t="s">
        <v>17</v>
      </c>
      <c r="Q902" s="16" t="s">
        <v>6922</v>
      </c>
      <c r="R902" s="16" t="s">
        <v>6923</v>
      </c>
      <c r="S902" s="16" t="s">
        <v>17</v>
      </c>
      <c r="T902" s="16" t="s">
        <v>8302</v>
      </c>
      <c r="U902" s="16" t="s">
        <v>17</v>
      </c>
      <c r="V902" s="16" t="s">
        <v>6929</v>
      </c>
      <c r="W902" s="16" t="s">
        <v>17</v>
      </c>
      <c r="X902" s="16" t="s">
        <v>8301</v>
      </c>
      <c r="Y902" s="16" t="s">
        <v>17</v>
      </c>
      <c r="Z902" s="16" t="s">
        <v>6926</v>
      </c>
    </row>
    <row r="903" spans="1:26" x14ac:dyDescent="0.3">
      <c r="A903" s="16">
        <v>902</v>
      </c>
      <c r="B903" s="16" t="s">
        <v>8269</v>
      </c>
      <c r="C903" s="17">
        <v>9780071800129</v>
      </c>
      <c r="D903" s="17">
        <v>9780071800129</v>
      </c>
      <c r="E903" s="16" t="s">
        <v>7105</v>
      </c>
      <c r="F903" s="16" t="s">
        <v>17</v>
      </c>
      <c r="G903" s="16" t="s">
        <v>17</v>
      </c>
      <c r="H903" s="16" t="s">
        <v>17</v>
      </c>
      <c r="I903" s="16" t="s">
        <v>17</v>
      </c>
      <c r="J903" s="16" t="s">
        <v>17</v>
      </c>
      <c r="K903" s="16" t="s">
        <v>1338</v>
      </c>
      <c r="L903" s="16" t="s">
        <v>8040</v>
      </c>
      <c r="M903" s="16" t="s">
        <v>8269</v>
      </c>
      <c r="N903" s="16" t="s">
        <v>17</v>
      </c>
      <c r="O903" s="16" t="s">
        <v>6921</v>
      </c>
      <c r="P903" s="16" t="s">
        <v>17</v>
      </c>
      <c r="Q903" s="16" t="s">
        <v>6922</v>
      </c>
      <c r="R903" s="16" t="s">
        <v>6923</v>
      </c>
      <c r="S903" s="16" t="s">
        <v>17</v>
      </c>
      <c r="T903" s="16" t="s">
        <v>7105</v>
      </c>
      <c r="U903" s="16" t="s">
        <v>17</v>
      </c>
      <c r="V903" s="16" t="s">
        <v>6929</v>
      </c>
      <c r="W903" s="16" t="s">
        <v>17</v>
      </c>
      <c r="X903" s="16" t="s">
        <v>8269</v>
      </c>
      <c r="Y903" s="16" t="s">
        <v>17</v>
      </c>
      <c r="Z903" s="16" t="s">
        <v>6926</v>
      </c>
    </row>
    <row r="904" spans="1:26" x14ac:dyDescent="0.3">
      <c r="A904" s="16">
        <v>903</v>
      </c>
      <c r="B904" s="16" t="s">
        <v>7546</v>
      </c>
      <c r="C904" s="17">
        <v>9780071482721</v>
      </c>
      <c r="D904" s="17">
        <v>9780071482721</v>
      </c>
      <c r="E904" s="16" t="s">
        <v>6920</v>
      </c>
      <c r="F904" s="16" t="s">
        <v>17</v>
      </c>
      <c r="G904" s="16" t="s">
        <v>17</v>
      </c>
      <c r="H904" s="16" t="s">
        <v>17</v>
      </c>
      <c r="I904" s="16" t="s">
        <v>17</v>
      </c>
      <c r="J904" s="16" t="s">
        <v>17</v>
      </c>
      <c r="K904" s="16" t="s">
        <v>538</v>
      </c>
      <c r="L904" s="16" t="s">
        <v>537</v>
      </c>
      <c r="M904" s="16" t="s">
        <v>7546</v>
      </c>
      <c r="N904" s="16" t="s">
        <v>17</v>
      </c>
      <c r="O904" s="16" t="s">
        <v>6921</v>
      </c>
      <c r="P904" s="16" t="s">
        <v>17</v>
      </c>
      <c r="Q904" s="16" t="s">
        <v>6922</v>
      </c>
      <c r="R904" s="16" t="s">
        <v>6923</v>
      </c>
      <c r="S904" s="16" t="s">
        <v>17</v>
      </c>
      <c r="T904" s="16" t="s">
        <v>6920</v>
      </c>
      <c r="U904" s="16" t="s">
        <v>17</v>
      </c>
      <c r="V904" s="16" t="s">
        <v>6949</v>
      </c>
      <c r="W904" s="16" t="s">
        <v>17</v>
      </c>
      <c r="X904" s="16" t="s">
        <v>7546</v>
      </c>
      <c r="Y904" s="16" t="s">
        <v>17</v>
      </c>
      <c r="Z904" s="16" t="s">
        <v>6926</v>
      </c>
    </row>
    <row r="905" spans="1:26" x14ac:dyDescent="0.3">
      <c r="A905" s="16">
        <v>904</v>
      </c>
      <c r="B905" s="16" t="s">
        <v>1506</v>
      </c>
      <c r="C905" s="17">
        <v>9780071798143</v>
      </c>
      <c r="D905" s="17">
        <v>9780071798143</v>
      </c>
      <c r="E905" s="16" t="s">
        <v>7418</v>
      </c>
      <c r="F905" s="16" t="s">
        <v>17</v>
      </c>
      <c r="G905" s="16" t="s">
        <v>17</v>
      </c>
      <c r="H905" s="16" t="s">
        <v>17</v>
      </c>
      <c r="I905" s="16" t="s">
        <v>17</v>
      </c>
      <c r="J905" s="16" t="s">
        <v>17</v>
      </c>
      <c r="K905" s="16" t="s">
        <v>1508</v>
      </c>
      <c r="L905" s="16" t="s">
        <v>1507</v>
      </c>
      <c r="M905" s="16" t="s">
        <v>1506</v>
      </c>
      <c r="N905" s="16" t="s">
        <v>17</v>
      </c>
      <c r="O905" s="16" t="s">
        <v>6921</v>
      </c>
      <c r="P905" s="16" t="s">
        <v>17</v>
      </c>
      <c r="Q905" s="16" t="s">
        <v>6922</v>
      </c>
      <c r="R905" s="16" t="s">
        <v>6923</v>
      </c>
      <c r="S905" s="16" t="s">
        <v>17</v>
      </c>
      <c r="T905" s="16" t="s">
        <v>7418</v>
      </c>
      <c r="U905" s="16" t="s">
        <v>17</v>
      </c>
      <c r="V905" s="16" t="s">
        <v>7183</v>
      </c>
      <c r="W905" s="16" t="s">
        <v>17</v>
      </c>
      <c r="X905" s="16" t="s">
        <v>1506</v>
      </c>
      <c r="Y905" s="16" t="s">
        <v>17</v>
      </c>
      <c r="Z905" s="16" t="s">
        <v>6926</v>
      </c>
    </row>
    <row r="906" spans="1:26" x14ac:dyDescent="0.3">
      <c r="A906" s="16">
        <v>905</v>
      </c>
      <c r="B906" s="16" t="s">
        <v>7139</v>
      </c>
      <c r="C906" s="17">
        <v>9780071823463</v>
      </c>
      <c r="D906" s="17">
        <v>9780071823463</v>
      </c>
      <c r="E906" s="16" t="s">
        <v>6939</v>
      </c>
      <c r="F906" s="16" t="s">
        <v>17</v>
      </c>
      <c r="G906" s="16" t="s">
        <v>17</v>
      </c>
      <c r="H906" s="16" t="s">
        <v>17</v>
      </c>
      <c r="I906" s="16" t="s">
        <v>17</v>
      </c>
      <c r="J906" s="16" t="s">
        <v>17</v>
      </c>
      <c r="K906" s="16" t="s">
        <v>196</v>
      </c>
      <c r="L906" s="16" t="s">
        <v>7140</v>
      </c>
      <c r="M906" s="16" t="s">
        <v>7139</v>
      </c>
      <c r="N906" s="16" t="s">
        <v>17</v>
      </c>
      <c r="O906" s="16" t="s">
        <v>6921</v>
      </c>
      <c r="P906" s="16" t="s">
        <v>17</v>
      </c>
      <c r="Q906" s="16" t="s">
        <v>6922</v>
      </c>
      <c r="R906" s="16" t="s">
        <v>6923</v>
      </c>
      <c r="S906" s="16" t="s">
        <v>17</v>
      </c>
      <c r="T906" s="16" t="s">
        <v>6939</v>
      </c>
      <c r="U906" s="16" t="s">
        <v>17</v>
      </c>
      <c r="V906" s="16" t="s">
        <v>6924</v>
      </c>
      <c r="W906" s="16" t="s">
        <v>17</v>
      </c>
      <c r="X906" s="16" t="s">
        <v>7139</v>
      </c>
      <c r="Y906" s="16" t="s">
        <v>17</v>
      </c>
      <c r="Z906" s="16" t="s">
        <v>6926</v>
      </c>
    </row>
    <row r="907" spans="1:26" x14ac:dyDescent="0.3">
      <c r="A907" s="16">
        <v>906</v>
      </c>
      <c r="B907" s="16" t="s">
        <v>1148</v>
      </c>
      <c r="C907" s="17">
        <v>9780071508582</v>
      </c>
      <c r="D907" s="17">
        <v>9780071508582</v>
      </c>
      <c r="E907" s="16" t="s">
        <v>7036</v>
      </c>
      <c r="F907" s="16" t="s">
        <v>17</v>
      </c>
      <c r="G907" s="16" t="s">
        <v>17</v>
      </c>
      <c r="H907" s="16" t="s">
        <v>17</v>
      </c>
      <c r="I907" s="16" t="s">
        <v>17</v>
      </c>
      <c r="J907" s="16" t="s">
        <v>17</v>
      </c>
      <c r="K907" s="16" t="s">
        <v>1150</v>
      </c>
      <c r="L907" s="16" t="s">
        <v>1149</v>
      </c>
      <c r="M907" s="16" t="s">
        <v>1148</v>
      </c>
      <c r="N907" s="16" t="s">
        <v>17</v>
      </c>
      <c r="O907" s="16" t="s">
        <v>6921</v>
      </c>
      <c r="P907" s="16" t="s">
        <v>17</v>
      </c>
      <c r="Q907" s="16" t="s">
        <v>6922</v>
      </c>
      <c r="R907" s="16" t="s">
        <v>6923</v>
      </c>
      <c r="S907" s="16" t="s">
        <v>17</v>
      </c>
      <c r="T907" s="16" t="s">
        <v>7036</v>
      </c>
      <c r="U907" s="16" t="s">
        <v>17</v>
      </c>
      <c r="V907" s="16" t="s">
        <v>7049</v>
      </c>
      <c r="W907" s="16" t="s">
        <v>17</v>
      </c>
      <c r="X907" s="16" t="s">
        <v>1148</v>
      </c>
      <c r="Y907" s="16" t="s">
        <v>17</v>
      </c>
      <c r="Z907" s="16" t="s">
        <v>6926</v>
      </c>
    </row>
    <row r="908" spans="1:26" x14ac:dyDescent="0.3">
      <c r="A908" s="16">
        <v>907</v>
      </c>
      <c r="B908" s="16" t="s">
        <v>7597</v>
      </c>
      <c r="C908" s="17">
        <v>9780071639712</v>
      </c>
      <c r="D908" s="17">
        <v>9780071639712</v>
      </c>
      <c r="E908" s="16" t="s">
        <v>6920</v>
      </c>
      <c r="F908" s="16" t="s">
        <v>17</v>
      </c>
      <c r="G908" s="16" t="s">
        <v>17</v>
      </c>
      <c r="H908" s="16" t="s">
        <v>17</v>
      </c>
      <c r="I908" s="16" t="s">
        <v>17</v>
      </c>
      <c r="J908" s="16" t="s">
        <v>17</v>
      </c>
      <c r="K908" s="16" t="s">
        <v>592</v>
      </c>
      <c r="L908" s="16" t="s">
        <v>591</v>
      </c>
      <c r="M908" s="16" t="s">
        <v>7597</v>
      </c>
      <c r="N908" s="16" t="s">
        <v>17</v>
      </c>
      <c r="O908" s="16" t="s">
        <v>6921</v>
      </c>
      <c r="P908" s="16" t="s">
        <v>17</v>
      </c>
      <c r="Q908" s="16" t="s">
        <v>6922</v>
      </c>
      <c r="R908" s="16" t="s">
        <v>6923</v>
      </c>
      <c r="S908" s="16" t="s">
        <v>17</v>
      </c>
      <c r="T908" s="16" t="s">
        <v>6920</v>
      </c>
      <c r="U908" s="16" t="s">
        <v>17</v>
      </c>
      <c r="V908" s="16" t="s">
        <v>6949</v>
      </c>
      <c r="W908" s="16" t="s">
        <v>17</v>
      </c>
      <c r="X908" s="16" t="s">
        <v>7597</v>
      </c>
      <c r="Y908" s="16" t="s">
        <v>17</v>
      </c>
      <c r="Z908" s="16" t="s">
        <v>6926</v>
      </c>
    </row>
    <row r="909" spans="1:26" x14ac:dyDescent="0.3">
      <c r="A909" s="16">
        <v>908</v>
      </c>
      <c r="B909" s="16" t="s">
        <v>472</v>
      </c>
      <c r="C909" s="17">
        <v>9780071490238</v>
      </c>
      <c r="D909" s="17">
        <v>9780071490238</v>
      </c>
      <c r="E909" s="16" t="s">
        <v>6920</v>
      </c>
      <c r="F909" s="16" t="s">
        <v>17</v>
      </c>
      <c r="G909" s="16" t="s">
        <v>17</v>
      </c>
      <c r="H909" s="16" t="s">
        <v>17</v>
      </c>
      <c r="I909" s="16" t="s">
        <v>17</v>
      </c>
      <c r="J909" s="16" t="s">
        <v>17</v>
      </c>
      <c r="K909" s="16" t="s">
        <v>474</v>
      </c>
      <c r="L909" s="16" t="s">
        <v>473</v>
      </c>
      <c r="M909" s="16" t="s">
        <v>472</v>
      </c>
      <c r="N909" s="16" t="s">
        <v>17</v>
      </c>
      <c r="O909" s="16" t="s">
        <v>6921</v>
      </c>
      <c r="P909" s="16" t="s">
        <v>17</v>
      </c>
      <c r="Q909" s="16" t="s">
        <v>6922</v>
      </c>
      <c r="R909" s="16" t="s">
        <v>6923</v>
      </c>
      <c r="S909" s="16" t="s">
        <v>17</v>
      </c>
      <c r="T909" s="16" t="s">
        <v>6920</v>
      </c>
      <c r="U909" s="16" t="s">
        <v>17</v>
      </c>
      <c r="V909" s="16" t="s">
        <v>7049</v>
      </c>
      <c r="W909" s="16" t="s">
        <v>17</v>
      </c>
      <c r="X909" s="16" t="s">
        <v>472</v>
      </c>
      <c r="Y909" s="16" t="s">
        <v>17</v>
      </c>
      <c r="Z909" s="16" t="s">
        <v>6926</v>
      </c>
    </row>
    <row r="910" spans="1:26" x14ac:dyDescent="0.3">
      <c r="A910" s="16">
        <v>909</v>
      </c>
      <c r="B910" s="16" t="s">
        <v>472</v>
      </c>
      <c r="C910" s="17">
        <v>9781260128963</v>
      </c>
      <c r="D910" s="17">
        <v>9781260128963</v>
      </c>
      <c r="E910" s="16" t="s">
        <v>7921</v>
      </c>
      <c r="F910" s="16" t="s">
        <v>17</v>
      </c>
      <c r="G910" s="16" t="s">
        <v>17</v>
      </c>
      <c r="H910" s="16" t="s">
        <v>17</v>
      </c>
      <c r="I910" s="16" t="s">
        <v>17</v>
      </c>
      <c r="J910" s="16" t="s">
        <v>17</v>
      </c>
      <c r="K910" s="16" t="s">
        <v>1172</v>
      </c>
      <c r="L910" s="16" t="s">
        <v>8083</v>
      </c>
      <c r="M910" s="16" t="s">
        <v>472</v>
      </c>
      <c r="N910" s="16" t="s">
        <v>17</v>
      </c>
      <c r="O910" s="16" t="s">
        <v>6921</v>
      </c>
      <c r="P910" s="16" t="s">
        <v>17</v>
      </c>
      <c r="Q910" s="16" t="s">
        <v>6922</v>
      </c>
      <c r="R910" s="16" t="s">
        <v>6923</v>
      </c>
      <c r="S910" s="16" t="s">
        <v>17</v>
      </c>
      <c r="T910" s="16" t="s">
        <v>7921</v>
      </c>
      <c r="U910" s="16" t="s">
        <v>17</v>
      </c>
      <c r="V910" s="16" t="s">
        <v>6924</v>
      </c>
      <c r="W910" s="16" t="s">
        <v>17</v>
      </c>
      <c r="X910" s="16" t="s">
        <v>472</v>
      </c>
      <c r="Y910" s="16" t="s">
        <v>17</v>
      </c>
      <c r="Z910" s="16" t="s">
        <v>6926</v>
      </c>
    </row>
    <row r="911" spans="1:26" x14ac:dyDescent="0.3">
      <c r="A911" s="16">
        <v>910</v>
      </c>
      <c r="B911" s="16" t="s">
        <v>7490</v>
      </c>
      <c r="C911" s="17">
        <v>9780071459068</v>
      </c>
      <c r="D911" s="17">
        <v>9780071459068</v>
      </c>
      <c r="E911" s="16" t="s">
        <v>6920</v>
      </c>
      <c r="F911" s="16" t="s">
        <v>17</v>
      </c>
      <c r="G911" s="16" t="s">
        <v>17</v>
      </c>
      <c r="H911" s="16" t="s">
        <v>17</v>
      </c>
      <c r="I911" s="16" t="s">
        <v>17</v>
      </c>
      <c r="J911" s="16" t="s">
        <v>17</v>
      </c>
      <c r="K911" s="16" t="s">
        <v>503</v>
      </c>
      <c r="L911" s="16" t="s">
        <v>17</v>
      </c>
      <c r="M911" s="16" t="s">
        <v>7490</v>
      </c>
      <c r="N911" s="16" t="s">
        <v>17</v>
      </c>
      <c r="O911" s="16" t="s">
        <v>6921</v>
      </c>
      <c r="P911" s="16" t="s">
        <v>17</v>
      </c>
      <c r="Q911" s="16" t="s">
        <v>6922</v>
      </c>
      <c r="R911" s="16" t="s">
        <v>6923</v>
      </c>
      <c r="S911" s="16" t="s">
        <v>17</v>
      </c>
      <c r="T911" s="16" t="s">
        <v>6920</v>
      </c>
      <c r="U911" s="16" t="s">
        <v>17</v>
      </c>
      <c r="V911" s="16" t="s">
        <v>6929</v>
      </c>
      <c r="W911" s="16" t="s">
        <v>7491</v>
      </c>
      <c r="X911" s="16" t="s">
        <v>7490</v>
      </c>
      <c r="Y911" s="16" t="s">
        <v>17</v>
      </c>
      <c r="Z911" s="16" t="s">
        <v>6926</v>
      </c>
    </row>
    <row r="912" spans="1:26" x14ac:dyDescent="0.3">
      <c r="A912" s="16">
        <v>911</v>
      </c>
      <c r="B912" s="16" t="s">
        <v>7163</v>
      </c>
      <c r="C912" s="17">
        <v>9780071630054</v>
      </c>
      <c r="D912" s="17">
        <v>9780071630054</v>
      </c>
      <c r="E912" s="16" t="s">
        <v>6920</v>
      </c>
      <c r="F912" s="16" t="s">
        <v>17</v>
      </c>
      <c r="G912" s="16" t="s">
        <v>17</v>
      </c>
      <c r="H912" s="16" t="s">
        <v>17</v>
      </c>
      <c r="I912" s="16" t="s">
        <v>17</v>
      </c>
      <c r="J912" s="16" t="s">
        <v>17</v>
      </c>
      <c r="K912" s="16" t="s">
        <v>215</v>
      </c>
      <c r="L912" s="16" t="s">
        <v>214</v>
      </c>
      <c r="M912" s="16" t="s">
        <v>7163</v>
      </c>
      <c r="N912" s="16" t="s">
        <v>17</v>
      </c>
      <c r="O912" s="16" t="s">
        <v>6921</v>
      </c>
      <c r="P912" s="16" t="s">
        <v>17</v>
      </c>
      <c r="Q912" s="16" t="s">
        <v>6922</v>
      </c>
      <c r="R912" s="16" t="s">
        <v>6923</v>
      </c>
      <c r="S912" s="16" t="s">
        <v>17</v>
      </c>
      <c r="T912" s="16" t="s">
        <v>6920</v>
      </c>
      <c r="U912" s="16" t="s">
        <v>17</v>
      </c>
      <c r="V912" s="16" t="s">
        <v>6929</v>
      </c>
      <c r="W912" s="16" t="s">
        <v>17</v>
      </c>
      <c r="X912" s="16" t="s">
        <v>7163</v>
      </c>
      <c r="Y912" s="16" t="s">
        <v>17</v>
      </c>
      <c r="Z912" s="16" t="s">
        <v>6926</v>
      </c>
    </row>
    <row r="913" spans="1:26" x14ac:dyDescent="0.3">
      <c r="A913" s="16">
        <v>912</v>
      </c>
      <c r="B913" s="16" t="s">
        <v>8099</v>
      </c>
      <c r="C913" s="17">
        <v>9780071790673</v>
      </c>
      <c r="D913" s="17">
        <v>9780071790673</v>
      </c>
      <c r="E913" s="16" t="s">
        <v>6995</v>
      </c>
      <c r="F913" s="16" t="s">
        <v>17</v>
      </c>
      <c r="G913" s="16" t="s">
        <v>17</v>
      </c>
      <c r="H913" s="16" t="s">
        <v>17</v>
      </c>
      <c r="I913" s="16" t="s">
        <v>17</v>
      </c>
      <c r="J913" s="16" t="s">
        <v>17</v>
      </c>
      <c r="K913" s="16" t="s">
        <v>1185</v>
      </c>
      <c r="L913" s="16" t="s">
        <v>6937</v>
      </c>
      <c r="M913" s="16" t="s">
        <v>8099</v>
      </c>
      <c r="N913" s="16" t="s">
        <v>17</v>
      </c>
      <c r="O913" s="16" t="s">
        <v>6921</v>
      </c>
      <c r="P913" s="16" t="s">
        <v>17</v>
      </c>
      <c r="Q913" s="16" t="s">
        <v>6922</v>
      </c>
      <c r="R913" s="16" t="s">
        <v>6923</v>
      </c>
      <c r="S913" s="16" t="s">
        <v>17</v>
      </c>
      <c r="T913" s="16" t="s">
        <v>6995</v>
      </c>
      <c r="U913" s="16" t="s">
        <v>17</v>
      </c>
      <c r="V913" s="16" t="s">
        <v>6929</v>
      </c>
      <c r="W913" s="16" t="s">
        <v>17</v>
      </c>
      <c r="X913" s="16" t="s">
        <v>8099</v>
      </c>
      <c r="Y913" s="16" t="s">
        <v>17</v>
      </c>
      <c r="Z913" s="16" t="s">
        <v>6926</v>
      </c>
    </row>
    <row r="914" spans="1:26" x14ac:dyDescent="0.3">
      <c r="A914" s="16">
        <v>913</v>
      </c>
      <c r="B914" s="16" t="s">
        <v>8076</v>
      </c>
      <c r="C914" s="17">
        <v>9780071818711</v>
      </c>
      <c r="D914" s="17">
        <v>9780071818711</v>
      </c>
      <c r="E914" s="16" t="s">
        <v>7178</v>
      </c>
      <c r="F914" s="16" t="s">
        <v>17</v>
      </c>
      <c r="G914" s="16" t="s">
        <v>17</v>
      </c>
      <c r="H914" s="16" t="s">
        <v>17</v>
      </c>
      <c r="I914" s="16" t="s">
        <v>17</v>
      </c>
      <c r="J914" s="16" t="s">
        <v>17</v>
      </c>
      <c r="K914" s="16" t="s">
        <v>1159</v>
      </c>
      <c r="L914" s="16" t="s">
        <v>17</v>
      </c>
      <c r="M914" s="16" t="s">
        <v>8076</v>
      </c>
      <c r="N914" s="16" t="s">
        <v>17</v>
      </c>
      <c r="O914" s="16" t="s">
        <v>6921</v>
      </c>
      <c r="P914" s="16" t="s">
        <v>17</v>
      </c>
      <c r="Q914" s="16" t="s">
        <v>6922</v>
      </c>
      <c r="R914" s="16" t="s">
        <v>6923</v>
      </c>
      <c r="S914" s="16" t="s">
        <v>17</v>
      </c>
      <c r="T914" s="16" t="s">
        <v>7178</v>
      </c>
      <c r="U914" s="16" t="s">
        <v>17</v>
      </c>
      <c r="V914" s="16" t="s">
        <v>6929</v>
      </c>
      <c r="W914" s="16" t="s">
        <v>1158</v>
      </c>
      <c r="X914" s="16" t="s">
        <v>8076</v>
      </c>
      <c r="Y914" s="16" t="s">
        <v>17</v>
      </c>
      <c r="Z914" s="16" t="s">
        <v>6926</v>
      </c>
    </row>
    <row r="915" spans="1:26" x14ac:dyDescent="0.3">
      <c r="A915" s="16">
        <v>914</v>
      </c>
      <c r="B915" s="16" t="s">
        <v>8184</v>
      </c>
      <c r="C915" s="17">
        <v>9781260456639</v>
      </c>
      <c r="D915" s="17">
        <v>9781260456639</v>
      </c>
      <c r="E915" s="16" t="s">
        <v>7286</v>
      </c>
      <c r="F915" s="16" t="s">
        <v>17</v>
      </c>
      <c r="G915" s="16" t="s">
        <v>17</v>
      </c>
      <c r="H915" s="16" t="s">
        <v>17</v>
      </c>
      <c r="I915" s="16" t="s">
        <v>17</v>
      </c>
      <c r="J915" s="16" t="s">
        <v>17</v>
      </c>
      <c r="K915" s="16" t="s">
        <v>1266</v>
      </c>
      <c r="L915" s="16" t="s">
        <v>1265</v>
      </c>
      <c r="M915" s="16" t="s">
        <v>8184</v>
      </c>
      <c r="N915" s="16" t="s">
        <v>17</v>
      </c>
      <c r="O915" s="16" t="s">
        <v>6921</v>
      </c>
      <c r="P915" s="16" t="s">
        <v>17</v>
      </c>
      <c r="Q915" s="16" t="s">
        <v>6922</v>
      </c>
      <c r="R915" s="16" t="s">
        <v>6923</v>
      </c>
      <c r="S915" s="16" t="s">
        <v>17</v>
      </c>
      <c r="T915" s="16" t="s">
        <v>7286</v>
      </c>
      <c r="U915" s="16" t="s">
        <v>17</v>
      </c>
      <c r="V915" s="16" t="s">
        <v>6929</v>
      </c>
      <c r="W915" s="16" t="s">
        <v>17</v>
      </c>
      <c r="X915" s="16" t="s">
        <v>8184</v>
      </c>
      <c r="Y915" s="16" t="s">
        <v>17</v>
      </c>
      <c r="Z915" s="16" t="s">
        <v>6926</v>
      </c>
    </row>
    <row r="916" spans="1:26" x14ac:dyDescent="0.3">
      <c r="A916" s="16">
        <v>915</v>
      </c>
      <c r="B916" s="16" t="s">
        <v>8209</v>
      </c>
      <c r="C916" s="17">
        <v>9781260132366</v>
      </c>
      <c r="D916" s="17">
        <v>9781260132366</v>
      </c>
      <c r="E916" s="16" t="s">
        <v>8001</v>
      </c>
      <c r="F916" s="16" t="s">
        <v>17</v>
      </c>
      <c r="G916" s="16" t="s">
        <v>17</v>
      </c>
      <c r="H916" s="16" t="s">
        <v>17</v>
      </c>
      <c r="I916" s="16" t="s">
        <v>17</v>
      </c>
      <c r="J916" s="16" t="s">
        <v>17</v>
      </c>
      <c r="K916" s="16" t="s">
        <v>1288</v>
      </c>
      <c r="L916" s="16" t="s">
        <v>1287</v>
      </c>
      <c r="M916" s="16" t="s">
        <v>8209</v>
      </c>
      <c r="N916" s="16" t="s">
        <v>17</v>
      </c>
      <c r="O916" s="16" t="s">
        <v>6921</v>
      </c>
      <c r="P916" s="16" t="s">
        <v>17</v>
      </c>
      <c r="Q916" s="16" t="s">
        <v>6922</v>
      </c>
      <c r="R916" s="16" t="s">
        <v>6923</v>
      </c>
      <c r="S916" s="16" t="s">
        <v>17</v>
      </c>
      <c r="T916" s="16" t="s">
        <v>8001</v>
      </c>
      <c r="U916" s="16" t="s">
        <v>17</v>
      </c>
      <c r="V916" s="16" t="s">
        <v>6929</v>
      </c>
      <c r="W916" s="16" t="s">
        <v>17</v>
      </c>
      <c r="X916" s="16" t="s">
        <v>8209</v>
      </c>
      <c r="Y916" s="16" t="s">
        <v>17</v>
      </c>
      <c r="Z916" s="16" t="s">
        <v>6926</v>
      </c>
    </row>
    <row r="917" spans="1:26" x14ac:dyDescent="0.3">
      <c r="A917" s="16">
        <v>916</v>
      </c>
      <c r="B917" s="16" t="s">
        <v>7676</v>
      </c>
      <c r="C917" s="17">
        <v>9781264441389</v>
      </c>
      <c r="D917" s="17">
        <v>9781264441389</v>
      </c>
      <c r="E917" s="16" t="s">
        <v>7677</v>
      </c>
      <c r="F917" s="16" t="s">
        <v>17</v>
      </c>
      <c r="G917" s="16" t="s">
        <v>17</v>
      </c>
      <c r="H917" s="16" t="s">
        <v>17</v>
      </c>
      <c r="I917" s="16" t="s">
        <v>17</v>
      </c>
      <c r="J917" s="16" t="s">
        <v>17</v>
      </c>
      <c r="K917" s="16" t="s">
        <v>668</v>
      </c>
      <c r="L917" s="16" t="s">
        <v>667</v>
      </c>
      <c r="M917" s="16" t="s">
        <v>7676</v>
      </c>
      <c r="N917" s="16" t="s">
        <v>17</v>
      </c>
      <c r="O917" s="16" t="s">
        <v>6921</v>
      </c>
      <c r="P917" s="16" t="s">
        <v>17</v>
      </c>
      <c r="Q917" s="16" t="s">
        <v>6922</v>
      </c>
      <c r="R917" s="16" t="s">
        <v>6923</v>
      </c>
      <c r="S917" s="16" t="s">
        <v>17</v>
      </c>
      <c r="T917" s="16" t="s">
        <v>7677</v>
      </c>
      <c r="U917" s="16" t="s">
        <v>17</v>
      </c>
      <c r="V917" s="16" t="s">
        <v>7145</v>
      </c>
      <c r="W917" s="16" t="s">
        <v>17</v>
      </c>
      <c r="X917" s="16" t="s">
        <v>7676</v>
      </c>
      <c r="Y917" s="16" t="s">
        <v>17</v>
      </c>
      <c r="Z917" s="16" t="s">
        <v>6926</v>
      </c>
    </row>
    <row r="918" spans="1:26" x14ac:dyDescent="0.3">
      <c r="A918" s="16">
        <v>917</v>
      </c>
      <c r="B918" s="16" t="s">
        <v>7676</v>
      </c>
      <c r="C918" s="17">
        <v>9781259585531</v>
      </c>
      <c r="D918" s="17">
        <v>9781259585531</v>
      </c>
      <c r="E918" s="16" t="s">
        <v>7067</v>
      </c>
      <c r="F918" s="16" t="s">
        <v>17</v>
      </c>
      <c r="G918" s="16" t="s">
        <v>17</v>
      </c>
      <c r="H918" s="16" t="s">
        <v>17</v>
      </c>
      <c r="I918" s="16" t="s">
        <v>17</v>
      </c>
      <c r="J918" s="16" t="s">
        <v>17</v>
      </c>
      <c r="K918" s="16" t="s">
        <v>1503</v>
      </c>
      <c r="L918" s="16" t="s">
        <v>667</v>
      </c>
      <c r="M918" s="16" t="s">
        <v>7676</v>
      </c>
      <c r="N918" s="16" t="s">
        <v>17</v>
      </c>
      <c r="O918" s="16" t="s">
        <v>6921</v>
      </c>
      <c r="P918" s="16" t="s">
        <v>17</v>
      </c>
      <c r="Q918" s="16" t="s">
        <v>6922</v>
      </c>
      <c r="R918" s="16" t="s">
        <v>6923</v>
      </c>
      <c r="S918" s="16" t="s">
        <v>17</v>
      </c>
      <c r="T918" s="16" t="s">
        <v>7067</v>
      </c>
      <c r="U918" s="16" t="s">
        <v>17</v>
      </c>
      <c r="V918" s="16" t="s">
        <v>7072</v>
      </c>
      <c r="W918" s="16" t="s">
        <v>17</v>
      </c>
      <c r="X918" s="16" t="s">
        <v>7676</v>
      </c>
      <c r="Y918" s="16" t="s">
        <v>17</v>
      </c>
      <c r="Z918" s="16" t="s">
        <v>6926</v>
      </c>
    </row>
    <row r="919" spans="1:26" x14ac:dyDescent="0.3">
      <c r="A919" s="16">
        <v>918</v>
      </c>
      <c r="B919" s="16" t="s">
        <v>718</v>
      </c>
      <c r="C919" s="17">
        <v>9780071741354</v>
      </c>
      <c r="D919" s="17">
        <v>9780071741354</v>
      </c>
      <c r="E919" s="16" t="s">
        <v>7478</v>
      </c>
      <c r="F919" s="16" t="s">
        <v>17</v>
      </c>
      <c r="G919" s="16" t="s">
        <v>17</v>
      </c>
      <c r="H919" s="16" t="s">
        <v>17</v>
      </c>
      <c r="I919" s="16" t="s">
        <v>17</v>
      </c>
      <c r="J919" s="16" t="s">
        <v>17</v>
      </c>
      <c r="K919" s="16" t="s">
        <v>719</v>
      </c>
      <c r="L919" s="16" t="s">
        <v>667</v>
      </c>
      <c r="M919" s="16" t="s">
        <v>718</v>
      </c>
      <c r="N919" s="16" t="s">
        <v>17</v>
      </c>
      <c r="O919" s="16" t="s">
        <v>6921</v>
      </c>
      <c r="P919" s="16" t="s">
        <v>17</v>
      </c>
      <c r="Q919" s="16" t="s">
        <v>6922</v>
      </c>
      <c r="R919" s="16" t="s">
        <v>6923</v>
      </c>
      <c r="S919" s="16" t="s">
        <v>17</v>
      </c>
      <c r="T919" s="16" t="s">
        <v>7478</v>
      </c>
      <c r="U919" s="16" t="s">
        <v>17</v>
      </c>
      <c r="V919" s="16" t="s">
        <v>7729</v>
      </c>
      <c r="W919" s="16" t="s">
        <v>17</v>
      </c>
      <c r="X919" s="16" t="s">
        <v>718</v>
      </c>
      <c r="Y919" s="16" t="s">
        <v>17</v>
      </c>
      <c r="Z919" s="16" t="s">
        <v>6926</v>
      </c>
    </row>
    <row r="920" spans="1:26" x14ac:dyDescent="0.3">
      <c r="A920" s="16">
        <v>919</v>
      </c>
      <c r="B920" s="16" t="s">
        <v>8127</v>
      </c>
      <c r="C920" s="17">
        <v>9780071832663</v>
      </c>
      <c r="D920" s="17">
        <v>9780071832663</v>
      </c>
      <c r="E920" s="16" t="s">
        <v>6947</v>
      </c>
      <c r="F920" s="16" t="s">
        <v>17</v>
      </c>
      <c r="G920" s="16" t="s">
        <v>17</v>
      </c>
      <c r="H920" s="16" t="s">
        <v>17</v>
      </c>
      <c r="I920" s="16" t="s">
        <v>17</v>
      </c>
      <c r="J920" s="16" t="s">
        <v>17</v>
      </c>
      <c r="K920" s="16" t="s">
        <v>1218</v>
      </c>
      <c r="L920" s="16" t="s">
        <v>1217</v>
      </c>
      <c r="M920" s="16" t="s">
        <v>8127</v>
      </c>
      <c r="N920" s="16" t="s">
        <v>17</v>
      </c>
      <c r="O920" s="16" t="s">
        <v>6921</v>
      </c>
      <c r="P920" s="16" t="s">
        <v>17</v>
      </c>
      <c r="Q920" s="16" t="s">
        <v>6922</v>
      </c>
      <c r="R920" s="16" t="s">
        <v>6923</v>
      </c>
      <c r="S920" s="16" t="s">
        <v>17</v>
      </c>
      <c r="T920" s="16" t="s">
        <v>6947</v>
      </c>
      <c r="U920" s="16" t="s">
        <v>17</v>
      </c>
      <c r="V920" s="16" t="s">
        <v>6949</v>
      </c>
      <c r="W920" s="16" t="s">
        <v>17</v>
      </c>
      <c r="X920" s="16" t="s">
        <v>8127</v>
      </c>
      <c r="Y920" s="16" t="s">
        <v>17</v>
      </c>
      <c r="Z920" s="16" t="s">
        <v>6926</v>
      </c>
    </row>
    <row r="921" spans="1:26" x14ac:dyDescent="0.3">
      <c r="A921" s="16">
        <v>920</v>
      </c>
      <c r="B921" s="16" t="s">
        <v>7748</v>
      </c>
      <c r="C921" s="17">
        <v>9780071753074</v>
      </c>
      <c r="D921" s="17">
        <v>9780071753074</v>
      </c>
      <c r="E921" s="16" t="s">
        <v>6947</v>
      </c>
      <c r="F921" s="16" t="s">
        <v>17</v>
      </c>
      <c r="G921" s="16" t="s">
        <v>17</v>
      </c>
      <c r="H921" s="16" t="s">
        <v>17</v>
      </c>
      <c r="I921" s="16" t="s">
        <v>17</v>
      </c>
      <c r="J921" s="16" t="s">
        <v>17</v>
      </c>
      <c r="K921" s="16" t="s">
        <v>734</v>
      </c>
      <c r="L921" s="16" t="s">
        <v>17</v>
      </c>
      <c r="M921" s="16" t="s">
        <v>7748</v>
      </c>
      <c r="N921" s="16" t="s">
        <v>17</v>
      </c>
      <c r="O921" s="16" t="s">
        <v>6921</v>
      </c>
      <c r="P921" s="16" t="s">
        <v>17</v>
      </c>
      <c r="Q921" s="16" t="s">
        <v>6922</v>
      </c>
      <c r="R921" s="16" t="s">
        <v>6923</v>
      </c>
      <c r="S921" s="16" t="s">
        <v>17</v>
      </c>
      <c r="T921" s="16" t="s">
        <v>6947</v>
      </c>
      <c r="U921" s="16" t="s">
        <v>17</v>
      </c>
      <c r="V921" s="16" t="s">
        <v>6949</v>
      </c>
      <c r="W921" s="16" t="s">
        <v>7749</v>
      </c>
      <c r="X921" s="16" t="s">
        <v>7748</v>
      </c>
      <c r="Y921" s="16" t="s">
        <v>17</v>
      </c>
      <c r="Z921" s="16" t="s">
        <v>6926</v>
      </c>
    </row>
    <row r="922" spans="1:26" x14ac:dyDescent="0.3">
      <c r="A922" s="16">
        <v>921</v>
      </c>
      <c r="B922" s="16" t="s">
        <v>7079</v>
      </c>
      <c r="C922" s="17">
        <v>9780070581647</v>
      </c>
      <c r="D922" s="17">
        <v>9780070581647</v>
      </c>
      <c r="E922" s="16" t="s">
        <v>7080</v>
      </c>
      <c r="F922" s="16" t="s">
        <v>17</v>
      </c>
      <c r="G922" s="16" t="s">
        <v>17</v>
      </c>
      <c r="H922" s="16" t="s">
        <v>17</v>
      </c>
      <c r="I922" s="16" t="s">
        <v>17</v>
      </c>
      <c r="J922" s="16" t="s">
        <v>17</v>
      </c>
      <c r="K922" s="16" t="s">
        <v>143</v>
      </c>
      <c r="L922" s="16" t="s">
        <v>141</v>
      </c>
      <c r="M922" s="16" t="s">
        <v>7079</v>
      </c>
      <c r="N922" s="16" t="s">
        <v>17</v>
      </c>
      <c r="O922" s="16" t="s">
        <v>6921</v>
      </c>
      <c r="P922" s="16" t="s">
        <v>17</v>
      </c>
      <c r="Q922" s="16" t="s">
        <v>6922</v>
      </c>
      <c r="R922" s="16" t="s">
        <v>6923</v>
      </c>
      <c r="S922" s="16" t="s">
        <v>17</v>
      </c>
      <c r="T922" s="16" t="s">
        <v>7080</v>
      </c>
      <c r="U922" s="16" t="s">
        <v>17</v>
      </c>
      <c r="V922" s="16" t="s">
        <v>6929</v>
      </c>
      <c r="W922" s="16" t="s">
        <v>17</v>
      </c>
      <c r="X922" s="16" t="s">
        <v>7079</v>
      </c>
      <c r="Y922" s="16" t="s">
        <v>17</v>
      </c>
      <c r="Z922" s="16" t="s">
        <v>6926</v>
      </c>
    </row>
    <row r="923" spans="1:26" x14ac:dyDescent="0.3">
      <c r="A923" s="16">
        <v>922</v>
      </c>
      <c r="B923" s="16" t="s">
        <v>936</v>
      </c>
      <c r="C923" s="17">
        <v>9781259007323</v>
      </c>
      <c r="D923" s="17">
        <v>9781259007323</v>
      </c>
      <c r="E923" s="16" t="s">
        <v>7178</v>
      </c>
      <c r="F923" s="16" t="s">
        <v>17</v>
      </c>
      <c r="G923" s="16" t="s">
        <v>17</v>
      </c>
      <c r="H923" s="16" t="s">
        <v>17</v>
      </c>
      <c r="I923" s="16" t="s">
        <v>17</v>
      </c>
      <c r="J923" s="16" t="s">
        <v>17</v>
      </c>
      <c r="K923" s="16" t="s">
        <v>937</v>
      </c>
      <c r="L923" s="16" t="s">
        <v>100</v>
      </c>
      <c r="M923" s="16" t="s">
        <v>936</v>
      </c>
      <c r="N923" s="16" t="s">
        <v>17</v>
      </c>
      <c r="O923" s="16" t="s">
        <v>6921</v>
      </c>
      <c r="P923" s="16" t="s">
        <v>17</v>
      </c>
      <c r="Q923" s="16" t="s">
        <v>6922</v>
      </c>
      <c r="R923" s="16" t="s">
        <v>6923</v>
      </c>
      <c r="S923" s="16" t="s">
        <v>17</v>
      </c>
      <c r="T923" s="16" t="s">
        <v>7178</v>
      </c>
      <c r="U923" s="16" t="s">
        <v>17</v>
      </c>
      <c r="V923" s="16" t="s">
        <v>7049</v>
      </c>
      <c r="W923" s="16" t="s">
        <v>17</v>
      </c>
      <c r="X923" s="16" t="s">
        <v>936</v>
      </c>
      <c r="Y923" s="16" t="s">
        <v>17</v>
      </c>
      <c r="Z923" s="16" t="s">
        <v>6926</v>
      </c>
    </row>
    <row r="924" spans="1:26" x14ac:dyDescent="0.3">
      <c r="A924" s="16">
        <v>923</v>
      </c>
      <c r="B924" s="16" t="s">
        <v>8185</v>
      </c>
      <c r="C924" s="17">
        <v>9780071835206</v>
      </c>
      <c r="D924" s="17">
        <v>9780071835206</v>
      </c>
      <c r="E924" s="16" t="s">
        <v>6976</v>
      </c>
      <c r="F924" s="16" t="s">
        <v>17</v>
      </c>
      <c r="G924" s="16" t="s">
        <v>17</v>
      </c>
      <c r="H924" s="16" t="s">
        <v>17</v>
      </c>
      <c r="I924" s="16" t="s">
        <v>17</v>
      </c>
      <c r="J924" s="16" t="s">
        <v>17</v>
      </c>
      <c r="K924" s="16" t="s">
        <v>1267</v>
      </c>
      <c r="L924" s="16" t="s">
        <v>483</v>
      </c>
      <c r="M924" s="16" t="s">
        <v>8185</v>
      </c>
      <c r="N924" s="16" t="s">
        <v>17</v>
      </c>
      <c r="O924" s="16" t="s">
        <v>6921</v>
      </c>
      <c r="P924" s="16" t="s">
        <v>17</v>
      </c>
      <c r="Q924" s="16" t="s">
        <v>6922</v>
      </c>
      <c r="R924" s="16" t="s">
        <v>6923</v>
      </c>
      <c r="S924" s="16" t="s">
        <v>17</v>
      </c>
      <c r="T924" s="16" t="s">
        <v>6976</v>
      </c>
      <c r="U924" s="16" t="s">
        <v>17</v>
      </c>
      <c r="V924" s="16" t="s">
        <v>6929</v>
      </c>
      <c r="W924" s="16" t="s">
        <v>17</v>
      </c>
      <c r="X924" s="16" t="s">
        <v>8185</v>
      </c>
      <c r="Y924" s="16" t="s">
        <v>17</v>
      </c>
      <c r="Z924" s="16" t="s">
        <v>6926</v>
      </c>
    </row>
    <row r="925" spans="1:26" x14ac:dyDescent="0.3">
      <c r="A925" s="16">
        <v>924</v>
      </c>
      <c r="B925" s="16" t="s">
        <v>7950</v>
      </c>
      <c r="C925" s="17">
        <v>9781260135237</v>
      </c>
      <c r="D925" s="17">
        <v>9781260135237</v>
      </c>
      <c r="E925" s="16" t="s">
        <v>7435</v>
      </c>
      <c r="F925" s="16" t="s">
        <v>17</v>
      </c>
      <c r="G925" s="16" t="s">
        <v>17</v>
      </c>
      <c r="H925" s="16" t="s">
        <v>17</v>
      </c>
      <c r="I925" s="16" t="s">
        <v>17</v>
      </c>
      <c r="J925" s="16" t="s">
        <v>17</v>
      </c>
      <c r="K925" s="16" t="s">
        <v>972</v>
      </c>
      <c r="L925" s="16" t="s">
        <v>642</v>
      </c>
      <c r="M925" s="16" t="s">
        <v>7950</v>
      </c>
      <c r="N925" s="16" t="s">
        <v>17</v>
      </c>
      <c r="O925" s="16" t="s">
        <v>6921</v>
      </c>
      <c r="P925" s="16" t="s">
        <v>17</v>
      </c>
      <c r="Q925" s="16" t="s">
        <v>6922</v>
      </c>
      <c r="R925" s="16" t="s">
        <v>6923</v>
      </c>
      <c r="S925" s="16" t="s">
        <v>17</v>
      </c>
      <c r="T925" s="16" t="s">
        <v>7435</v>
      </c>
      <c r="U925" s="16" t="s">
        <v>17</v>
      </c>
      <c r="V925" s="16" t="s">
        <v>6924</v>
      </c>
      <c r="W925" s="16" t="s">
        <v>17</v>
      </c>
      <c r="X925" s="16" t="s">
        <v>7950</v>
      </c>
      <c r="Y925" s="16" t="s">
        <v>17</v>
      </c>
      <c r="Z925" s="16" t="s">
        <v>6926</v>
      </c>
    </row>
    <row r="926" spans="1:26" x14ac:dyDescent="0.3">
      <c r="A926" s="16">
        <v>925</v>
      </c>
      <c r="B926" s="16" t="s">
        <v>7518</v>
      </c>
      <c r="C926" s="17">
        <v>9780071665544</v>
      </c>
      <c r="D926" s="17">
        <v>9780071665544</v>
      </c>
      <c r="E926" s="16" t="s">
        <v>7299</v>
      </c>
      <c r="F926" s="16" t="s">
        <v>17</v>
      </c>
      <c r="G926" s="16" t="s">
        <v>17</v>
      </c>
      <c r="H926" s="16" t="s">
        <v>17</v>
      </c>
      <c r="I926" s="16" t="s">
        <v>17</v>
      </c>
      <c r="J926" s="16" t="s">
        <v>17</v>
      </c>
      <c r="K926" s="16" t="s">
        <v>519</v>
      </c>
      <c r="L926" s="16" t="s">
        <v>17</v>
      </c>
      <c r="M926" s="16" t="s">
        <v>7518</v>
      </c>
      <c r="N926" s="16" t="s">
        <v>17</v>
      </c>
      <c r="O926" s="16" t="s">
        <v>6921</v>
      </c>
      <c r="P926" s="16" t="s">
        <v>17</v>
      </c>
      <c r="Q926" s="16" t="s">
        <v>6922</v>
      </c>
      <c r="R926" s="16" t="s">
        <v>6923</v>
      </c>
      <c r="S926" s="16" t="s">
        <v>17</v>
      </c>
      <c r="T926" s="16" t="s">
        <v>7299</v>
      </c>
      <c r="U926" s="16" t="s">
        <v>17</v>
      </c>
      <c r="V926" s="16" t="s">
        <v>6929</v>
      </c>
      <c r="W926" s="16" t="s">
        <v>7519</v>
      </c>
      <c r="X926" s="16" t="s">
        <v>7518</v>
      </c>
      <c r="Y926" s="16" t="s">
        <v>17</v>
      </c>
      <c r="Z926" s="16" t="s">
        <v>6926</v>
      </c>
    </row>
    <row r="927" spans="1:26" x14ac:dyDescent="0.3">
      <c r="A927" s="16">
        <v>926</v>
      </c>
      <c r="B927" s="16" t="s">
        <v>3047</v>
      </c>
      <c r="C927" s="17">
        <v>9780071772341</v>
      </c>
      <c r="D927" s="17">
        <v>9780071772341</v>
      </c>
      <c r="E927" s="16" t="s">
        <v>7459</v>
      </c>
      <c r="F927" s="16" t="s">
        <v>17</v>
      </c>
      <c r="G927" s="16" t="s">
        <v>17</v>
      </c>
      <c r="H927" s="16" t="s">
        <v>17</v>
      </c>
      <c r="I927" s="16" t="s">
        <v>17</v>
      </c>
      <c r="J927" s="16" t="s">
        <v>17</v>
      </c>
      <c r="K927" s="16" t="s">
        <v>1226</v>
      </c>
      <c r="L927" s="16" t="s">
        <v>8136</v>
      </c>
      <c r="M927" s="16" t="s">
        <v>3047</v>
      </c>
      <c r="N927" s="16" t="s">
        <v>17</v>
      </c>
      <c r="O927" s="16" t="s">
        <v>6921</v>
      </c>
      <c r="P927" s="16" t="s">
        <v>17</v>
      </c>
      <c r="Q927" s="16" t="s">
        <v>6922</v>
      </c>
      <c r="R927" s="16" t="s">
        <v>6923</v>
      </c>
      <c r="S927" s="16" t="s">
        <v>17</v>
      </c>
      <c r="T927" s="16" t="s">
        <v>7459</v>
      </c>
      <c r="U927" s="16" t="s">
        <v>17</v>
      </c>
      <c r="V927" s="16" t="s">
        <v>6929</v>
      </c>
      <c r="W927" s="16" t="s">
        <v>17</v>
      </c>
      <c r="X927" s="16" t="s">
        <v>3047</v>
      </c>
      <c r="Y927" s="16" t="s">
        <v>17</v>
      </c>
      <c r="Z927" s="16" t="s">
        <v>6926</v>
      </c>
    </row>
    <row r="928" spans="1:26" x14ac:dyDescent="0.3">
      <c r="A928" s="16">
        <v>927</v>
      </c>
      <c r="B928" s="16" t="s">
        <v>7075</v>
      </c>
      <c r="C928" s="17">
        <v>9780071843256</v>
      </c>
      <c r="D928" s="17">
        <v>9780071843256</v>
      </c>
      <c r="E928" s="16" t="s">
        <v>7043</v>
      </c>
      <c r="F928" s="16" t="s">
        <v>17</v>
      </c>
      <c r="G928" s="16" t="s">
        <v>17</v>
      </c>
      <c r="H928" s="16" t="s">
        <v>17</v>
      </c>
      <c r="I928" s="16" t="s">
        <v>17</v>
      </c>
      <c r="J928" s="16" t="s">
        <v>17</v>
      </c>
      <c r="K928" s="16" t="s">
        <v>137</v>
      </c>
      <c r="L928" s="16" t="s">
        <v>135</v>
      </c>
      <c r="M928" s="16" t="s">
        <v>7075</v>
      </c>
      <c r="N928" s="16" t="s">
        <v>17</v>
      </c>
      <c r="O928" s="16" t="s">
        <v>6921</v>
      </c>
      <c r="P928" s="16" t="s">
        <v>17</v>
      </c>
      <c r="Q928" s="16" t="s">
        <v>6922</v>
      </c>
      <c r="R928" s="16" t="s">
        <v>6923</v>
      </c>
      <c r="S928" s="16" t="s">
        <v>17</v>
      </c>
      <c r="T928" s="16" t="s">
        <v>7043</v>
      </c>
      <c r="U928" s="16" t="s">
        <v>17</v>
      </c>
      <c r="V928" s="16" t="s">
        <v>6929</v>
      </c>
      <c r="W928" s="16" t="s">
        <v>17</v>
      </c>
      <c r="X928" s="16" t="s">
        <v>7075</v>
      </c>
      <c r="Y928" s="16" t="s">
        <v>17</v>
      </c>
      <c r="Z928" s="16" t="s">
        <v>6926</v>
      </c>
    </row>
    <row r="929" spans="1:26" x14ac:dyDescent="0.3">
      <c r="A929" s="16">
        <v>928</v>
      </c>
      <c r="B929" s="16" t="s">
        <v>7938</v>
      </c>
      <c r="C929" s="17">
        <v>9780071785143</v>
      </c>
      <c r="D929" s="17">
        <v>9780071785143</v>
      </c>
      <c r="E929" s="16" t="s">
        <v>6936</v>
      </c>
      <c r="F929" s="16" t="s">
        <v>17</v>
      </c>
      <c r="G929" s="16" t="s">
        <v>17</v>
      </c>
      <c r="H929" s="16" t="s">
        <v>17</v>
      </c>
      <c r="I929" s="16" t="s">
        <v>17</v>
      </c>
      <c r="J929" s="16" t="s">
        <v>17</v>
      </c>
      <c r="K929" s="16" t="s">
        <v>959</v>
      </c>
      <c r="L929" s="16" t="s">
        <v>7011</v>
      </c>
      <c r="M929" s="16" t="s">
        <v>7938</v>
      </c>
      <c r="N929" s="16" t="s">
        <v>17</v>
      </c>
      <c r="O929" s="16" t="s">
        <v>6921</v>
      </c>
      <c r="P929" s="16" t="s">
        <v>17</v>
      </c>
      <c r="Q929" s="16" t="s">
        <v>6922</v>
      </c>
      <c r="R929" s="16" t="s">
        <v>6923</v>
      </c>
      <c r="S929" s="16" t="s">
        <v>17</v>
      </c>
      <c r="T929" s="16" t="s">
        <v>6936</v>
      </c>
      <c r="U929" s="16" t="s">
        <v>17</v>
      </c>
      <c r="V929" s="16" t="s">
        <v>6929</v>
      </c>
      <c r="W929" s="16" t="s">
        <v>17</v>
      </c>
      <c r="X929" s="16" t="s">
        <v>7938</v>
      </c>
      <c r="Y929" s="16" t="s">
        <v>17</v>
      </c>
      <c r="Z929" s="16" t="s">
        <v>6926</v>
      </c>
    </row>
    <row r="930" spans="1:26" x14ac:dyDescent="0.3">
      <c r="A930" s="16">
        <v>929</v>
      </c>
      <c r="B930" s="16" t="s">
        <v>7998</v>
      </c>
      <c r="C930" s="17">
        <v>9780071406109</v>
      </c>
      <c r="D930" s="17">
        <v>9780071406109</v>
      </c>
      <c r="E930" s="16" t="s">
        <v>7127</v>
      </c>
      <c r="F930" s="16" t="s">
        <v>17</v>
      </c>
      <c r="G930" s="16" t="s">
        <v>17</v>
      </c>
      <c r="H930" s="16" t="s">
        <v>17</v>
      </c>
      <c r="I930" s="16" t="s">
        <v>17</v>
      </c>
      <c r="J930" s="16" t="s">
        <v>17</v>
      </c>
      <c r="K930" s="16" t="s">
        <v>1051</v>
      </c>
      <c r="L930" s="16" t="s">
        <v>1050</v>
      </c>
      <c r="M930" s="16" t="s">
        <v>7998</v>
      </c>
      <c r="N930" s="16" t="s">
        <v>17</v>
      </c>
      <c r="O930" s="16" t="s">
        <v>6921</v>
      </c>
      <c r="P930" s="16" t="s">
        <v>17</v>
      </c>
      <c r="Q930" s="16" t="s">
        <v>6922</v>
      </c>
      <c r="R930" s="16" t="s">
        <v>6923</v>
      </c>
      <c r="S930" s="16" t="s">
        <v>17</v>
      </c>
      <c r="T930" s="16" t="s">
        <v>7127</v>
      </c>
      <c r="U930" s="16" t="s">
        <v>17</v>
      </c>
      <c r="V930" s="16" t="s">
        <v>6929</v>
      </c>
      <c r="W930" s="16" t="s">
        <v>17</v>
      </c>
      <c r="X930" s="16" t="s">
        <v>7998</v>
      </c>
      <c r="Y930" s="16" t="s">
        <v>17</v>
      </c>
      <c r="Z930" s="16" t="s">
        <v>6926</v>
      </c>
    </row>
    <row r="931" spans="1:26" x14ac:dyDescent="0.3">
      <c r="A931" s="16">
        <v>930</v>
      </c>
      <c r="B931" s="16" t="s">
        <v>7751</v>
      </c>
      <c r="C931" s="17">
        <v>9781264988778</v>
      </c>
      <c r="D931" s="17">
        <v>9781264988778</v>
      </c>
      <c r="E931" s="16" t="s">
        <v>7752</v>
      </c>
      <c r="F931" s="16" t="s">
        <v>17</v>
      </c>
      <c r="G931" s="16" t="s">
        <v>17</v>
      </c>
      <c r="H931" s="16" t="s">
        <v>17</v>
      </c>
      <c r="I931" s="16" t="s">
        <v>17</v>
      </c>
      <c r="J931" s="16" t="s">
        <v>17</v>
      </c>
      <c r="K931" s="16" t="s">
        <v>736</v>
      </c>
      <c r="L931" s="16" t="s">
        <v>7753</v>
      </c>
      <c r="M931" s="16" t="s">
        <v>7751</v>
      </c>
      <c r="N931" s="16" t="s">
        <v>17</v>
      </c>
      <c r="O931" s="16" t="s">
        <v>6921</v>
      </c>
      <c r="P931" s="16" t="s">
        <v>17</v>
      </c>
      <c r="Q931" s="16" t="s">
        <v>6922</v>
      </c>
      <c r="R931" s="16" t="s">
        <v>6923</v>
      </c>
      <c r="S931" s="16" t="s">
        <v>17</v>
      </c>
      <c r="T931" s="16" t="s">
        <v>7752</v>
      </c>
      <c r="U931" s="16" t="s">
        <v>17</v>
      </c>
      <c r="V931" s="16" t="s">
        <v>6929</v>
      </c>
      <c r="W931" s="16" t="s">
        <v>17</v>
      </c>
      <c r="X931" s="16" t="s">
        <v>7751</v>
      </c>
      <c r="Y931" s="16" t="s">
        <v>17</v>
      </c>
      <c r="Z931" s="16" t="s">
        <v>6926</v>
      </c>
    </row>
    <row r="932" spans="1:26" x14ac:dyDescent="0.3">
      <c r="A932" s="16">
        <v>931</v>
      </c>
      <c r="B932" s="16" t="s">
        <v>7061</v>
      </c>
      <c r="C932" s="17">
        <v>9780070685079</v>
      </c>
      <c r="D932" s="17">
        <v>9780070685079</v>
      </c>
      <c r="E932" s="16" t="s">
        <v>6920</v>
      </c>
      <c r="F932" s="16" t="s">
        <v>17</v>
      </c>
      <c r="G932" s="16" t="s">
        <v>17</v>
      </c>
      <c r="H932" s="16" t="s">
        <v>17</v>
      </c>
      <c r="I932" s="16" t="s">
        <v>17</v>
      </c>
      <c r="J932" s="16" t="s">
        <v>17</v>
      </c>
      <c r="K932" s="16" t="s">
        <v>124</v>
      </c>
      <c r="L932" s="16" t="s">
        <v>17</v>
      </c>
      <c r="M932" s="16" t="s">
        <v>7061</v>
      </c>
      <c r="N932" s="16" t="s">
        <v>17</v>
      </c>
      <c r="O932" s="16" t="s">
        <v>6921</v>
      </c>
      <c r="P932" s="16" t="s">
        <v>17</v>
      </c>
      <c r="Q932" s="16" t="s">
        <v>6922</v>
      </c>
      <c r="R932" s="16" t="s">
        <v>6923</v>
      </c>
      <c r="S932" s="16" t="s">
        <v>17</v>
      </c>
      <c r="T932" s="16" t="s">
        <v>6920</v>
      </c>
      <c r="U932" s="16" t="s">
        <v>17</v>
      </c>
      <c r="V932" s="16" t="s">
        <v>6929</v>
      </c>
      <c r="W932" s="16" t="s">
        <v>123</v>
      </c>
      <c r="X932" s="16" t="s">
        <v>7061</v>
      </c>
      <c r="Y932" s="16" t="s">
        <v>17</v>
      </c>
      <c r="Z932" s="16" t="s">
        <v>6926</v>
      </c>
    </row>
    <row r="933" spans="1:26" x14ac:dyDescent="0.3">
      <c r="A933" s="16">
        <v>932</v>
      </c>
      <c r="B933" s="16" t="s">
        <v>7889</v>
      </c>
      <c r="C933" s="17">
        <v>9780071430371</v>
      </c>
      <c r="D933" s="17">
        <v>9780071430371</v>
      </c>
      <c r="E933" s="16" t="s">
        <v>6920</v>
      </c>
      <c r="F933" s="16" t="s">
        <v>17</v>
      </c>
      <c r="G933" s="16" t="s">
        <v>17</v>
      </c>
      <c r="H933" s="16" t="s">
        <v>17</v>
      </c>
      <c r="I933" s="16" t="s">
        <v>17</v>
      </c>
      <c r="J933" s="16" t="s">
        <v>17</v>
      </c>
      <c r="K933" s="16" t="s">
        <v>890</v>
      </c>
      <c r="L933" s="16" t="s">
        <v>7890</v>
      </c>
      <c r="M933" s="16" t="s">
        <v>7889</v>
      </c>
      <c r="N933" s="16" t="s">
        <v>17</v>
      </c>
      <c r="O933" s="16" t="s">
        <v>6921</v>
      </c>
      <c r="P933" s="16" t="s">
        <v>17</v>
      </c>
      <c r="Q933" s="16" t="s">
        <v>6922</v>
      </c>
      <c r="R933" s="16" t="s">
        <v>6923</v>
      </c>
      <c r="S933" s="16" t="s">
        <v>17</v>
      </c>
      <c r="T933" s="16" t="s">
        <v>6920</v>
      </c>
      <c r="U933" s="16" t="s">
        <v>17</v>
      </c>
      <c r="V933" s="16" t="s">
        <v>6929</v>
      </c>
      <c r="W933" s="16" t="s">
        <v>17</v>
      </c>
      <c r="X933" s="16" t="s">
        <v>7889</v>
      </c>
      <c r="Y933" s="16" t="s">
        <v>17</v>
      </c>
      <c r="Z933" s="16" t="s">
        <v>6926</v>
      </c>
    </row>
    <row r="934" spans="1:26" x14ac:dyDescent="0.3">
      <c r="A934" s="16">
        <v>933</v>
      </c>
      <c r="B934" s="16" t="s">
        <v>8211</v>
      </c>
      <c r="C934" s="17">
        <v>9781259837425</v>
      </c>
      <c r="D934" s="17">
        <v>9781259837425</v>
      </c>
      <c r="E934" s="16" t="s">
        <v>8212</v>
      </c>
      <c r="F934" s="16" t="s">
        <v>17</v>
      </c>
      <c r="G934" s="16" t="s">
        <v>17</v>
      </c>
      <c r="H934" s="16" t="s">
        <v>17</v>
      </c>
      <c r="I934" s="16" t="s">
        <v>17</v>
      </c>
      <c r="J934" s="16" t="s">
        <v>17</v>
      </c>
      <c r="K934" s="16" t="s">
        <v>1292</v>
      </c>
      <c r="L934" s="16" t="s">
        <v>1291</v>
      </c>
      <c r="M934" s="16" t="s">
        <v>8211</v>
      </c>
      <c r="N934" s="16" t="s">
        <v>17</v>
      </c>
      <c r="O934" s="16" t="s">
        <v>6921</v>
      </c>
      <c r="P934" s="16" t="s">
        <v>17</v>
      </c>
      <c r="Q934" s="16" t="s">
        <v>6922</v>
      </c>
      <c r="R934" s="16" t="s">
        <v>6923</v>
      </c>
      <c r="S934" s="16" t="s">
        <v>17</v>
      </c>
      <c r="T934" s="16" t="s">
        <v>8212</v>
      </c>
      <c r="U934" s="16" t="s">
        <v>17</v>
      </c>
      <c r="V934" s="16" t="s">
        <v>6929</v>
      </c>
      <c r="W934" s="16" t="s">
        <v>17</v>
      </c>
      <c r="X934" s="16" t="s">
        <v>8211</v>
      </c>
      <c r="Y934" s="16" t="s">
        <v>17</v>
      </c>
      <c r="Z934" s="16" t="s">
        <v>6926</v>
      </c>
    </row>
    <row r="935" spans="1:26" x14ac:dyDescent="0.3">
      <c r="A935" s="16">
        <v>934</v>
      </c>
      <c r="B935" s="16" t="s">
        <v>7589</v>
      </c>
      <c r="C935" s="17">
        <v>9780071448932</v>
      </c>
      <c r="D935" s="17">
        <v>9780071448932</v>
      </c>
      <c r="E935" s="16" t="s">
        <v>7057</v>
      </c>
      <c r="F935" s="16" t="s">
        <v>17</v>
      </c>
      <c r="G935" s="16" t="s">
        <v>17</v>
      </c>
      <c r="H935" s="16" t="s">
        <v>17</v>
      </c>
      <c r="I935" s="16" t="s">
        <v>17</v>
      </c>
      <c r="J935" s="16" t="s">
        <v>17</v>
      </c>
      <c r="K935" s="16" t="s">
        <v>579</v>
      </c>
      <c r="L935" s="16" t="s">
        <v>7467</v>
      </c>
      <c r="M935" s="16" t="s">
        <v>7589</v>
      </c>
      <c r="N935" s="16" t="s">
        <v>17</v>
      </c>
      <c r="O935" s="16" t="s">
        <v>6921</v>
      </c>
      <c r="P935" s="16" t="s">
        <v>17</v>
      </c>
      <c r="Q935" s="16" t="s">
        <v>6922</v>
      </c>
      <c r="R935" s="16" t="s">
        <v>6923</v>
      </c>
      <c r="S935" s="16" t="s">
        <v>17</v>
      </c>
      <c r="T935" s="16" t="s">
        <v>7057</v>
      </c>
      <c r="U935" s="16" t="s">
        <v>17</v>
      </c>
      <c r="V935" s="16" t="s">
        <v>6929</v>
      </c>
      <c r="W935" s="16" t="s">
        <v>17</v>
      </c>
      <c r="X935" s="16" t="s">
        <v>7589</v>
      </c>
      <c r="Y935" s="16" t="s">
        <v>17</v>
      </c>
      <c r="Z935" s="16" t="s">
        <v>6926</v>
      </c>
    </row>
    <row r="936" spans="1:26" x14ac:dyDescent="0.3">
      <c r="A936" s="16">
        <v>935</v>
      </c>
      <c r="B936" s="16" t="s">
        <v>8114</v>
      </c>
      <c r="C936" s="17">
        <v>9780071780780</v>
      </c>
      <c r="D936" s="17">
        <v>9780071780780</v>
      </c>
      <c r="E936" s="16" t="s">
        <v>7478</v>
      </c>
      <c r="F936" s="16" t="s">
        <v>17</v>
      </c>
      <c r="G936" s="16" t="s">
        <v>17</v>
      </c>
      <c r="H936" s="16" t="s">
        <v>17</v>
      </c>
      <c r="I936" s="16" t="s">
        <v>17</v>
      </c>
      <c r="J936" s="16" t="s">
        <v>17</v>
      </c>
      <c r="K936" s="16" t="s">
        <v>1202</v>
      </c>
      <c r="L936" s="16" t="s">
        <v>7467</v>
      </c>
      <c r="M936" s="16" t="s">
        <v>8114</v>
      </c>
      <c r="N936" s="16" t="s">
        <v>17</v>
      </c>
      <c r="O936" s="16" t="s">
        <v>6921</v>
      </c>
      <c r="P936" s="16" t="s">
        <v>17</v>
      </c>
      <c r="Q936" s="16" t="s">
        <v>6922</v>
      </c>
      <c r="R936" s="16" t="s">
        <v>6923</v>
      </c>
      <c r="S936" s="16" t="s">
        <v>17</v>
      </c>
      <c r="T936" s="16" t="s">
        <v>7478</v>
      </c>
      <c r="U936" s="16" t="s">
        <v>17</v>
      </c>
      <c r="V936" s="16" t="s">
        <v>6929</v>
      </c>
      <c r="W936" s="16" t="s">
        <v>17</v>
      </c>
      <c r="X936" s="16" t="s">
        <v>8114</v>
      </c>
      <c r="Y936" s="16" t="s">
        <v>17</v>
      </c>
      <c r="Z936" s="16" t="s">
        <v>6926</v>
      </c>
    </row>
    <row r="937" spans="1:26" x14ac:dyDescent="0.3">
      <c r="A937" s="16">
        <v>936</v>
      </c>
      <c r="B937" s="16" t="s">
        <v>7466</v>
      </c>
      <c r="C937" s="17">
        <v>9781260468519</v>
      </c>
      <c r="D937" s="17">
        <v>9781260468519</v>
      </c>
      <c r="E937" s="16" t="s">
        <v>7328</v>
      </c>
      <c r="F937" s="16" t="s">
        <v>17</v>
      </c>
      <c r="G937" s="16" t="s">
        <v>17</v>
      </c>
      <c r="H937" s="16" t="s">
        <v>17</v>
      </c>
      <c r="I937" s="16" t="s">
        <v>17</v>
      </c>
      <c r="J937" s="16" t="s">
        <v>17</v>
      </c>
      <c r="K937" s="16" t="s">
        <v>471</v>
      </c>
      <c r="L937" s="16" t="s">
        <v>7467</v>
      </c>
      <c r="M937" s="16" t="s">
        <v>7466</v>
      </c>
      <c r="N937" s="16" t="s">
        <v>17</v>
      </c>
      <c r="O937" s="16" t="s">
        <v>6921</v>
      </c>
      <c r="P937" s="16" t="s">
        <v>17</v>
      </c>
      <c r="Q937" s="16" t="s">
        <v>6922</v>
      </c>
      <c r="R937" s="16" t="s">
        <v>6923</v>
      </c>
      <c r="S937" s="16" t="s">
        <v>17</v>
      </c>
      <c r="T937" s="16" t="s">
        <v>7328</v>
      </c>
      <c r="U937" s="16" t="s">
        <v>17</v>
      </c>
      <c r="V937" s="16" t="s">
        <v>6924</v>
      </c>
      <c r="W937" s="16" t="s">
        <v>17</v>
      </c>
      <c r="X937" s="16" t="s">
        <v>7466</v>
      </c>
      <c r="Y937" s="16" t="s">
        <v>17</v>
      </c>
      <c r="Z937" s="16" t="s">
        <v>6926</v>
      </c>
    </row>
    <row r="938" spans="1:26" x14ac:dyDescent="0.3">
      <c r="A938" s="16">
        <v>937</v>
      </c>
      <c r="B938" s="16" t="s">
        <v>7466</v>
      </c>
      <c r="C938" s="17">
        <v>9780071392310</v>
      </c>
      <c r="D938" s="17">
        <v>9780071392310</v>
      </c>
      <c r="E938" s="16" t="s">
        <v>7057</v>
      </c>
      <c r="F938" s="16" t="s">
        <v>17</v>
      </c>
      <c r="G938" s="16" t="s">
        <v>17</v>
      </c>
      <c r="H938" s="16" t="s">
        <v>17</v>
      </c>
      <c r="I938" s="16" t="s">
        <v>17</v>
      </c>
      <c r="J938" s="16" t="s">
        <v>17</v>
      </c>
      <c r="K938" s="16" t="s">
        <v>636</v>
      </c>
      <c r="L938" s="16" t="s">
        <v>7644</v>
      </c>
      <c r="M938" s="16" t="s">
        <v>7466</v>
      </c>
      <c r="N938" s="16" t="s">
        <v>17</v>
      </c>
      <c r="O938" s="16" t="s">
        <v>6921</v>
      </c>
      <c r="P938" s="16" t="s">
        <v>17</v>
      </c>
      <c r="Q938" s="16" t="s">
        <v>6922</v>
      </c>
      <c r="R938" s="16" t="s">
        <v>6923</v>
      </c>
      <c r="S938" s="16" t="s">
        <v>17</v>
      </c>
      <c r="T938" s="16" t="s">
        <v>7057</v>
      </c>
      <c r="U938" s="16" t="s">
        <v>17</v>
      </c>
      <c r="V938" s="16" t="s">
        <v>6929</v>
      </c>
      <c r="W938" s="16" t="s">
        <v>17</v>
      </c>
      <c r="X938" s="16" t="s">
        <v>7466</v>
      </c>
      <c r="Y938" s="16" t="s">
        <v>17</v>
      </c>
      <c r="Z938" s="16" t="s">
        <v>6926</v>
      </c>
    </row>
    <row r="939" spans="1:26" x14ac:dyDescent="0.3">
      <c r="A939" s="16">
        <v>938</v>
      </c>
      <c r="B939" s="16" t="s">
        <v>382</v>
      </c>
      <c r="C939" s="17">
        <v>9780070483156</v>
      </c>
      <c r="D939" s="17">
        <v>9780070483156</v>
      </c>
      <c r="E939" s="16" t="s">
        <v>6947</v>
      </c>
      <c r="F939" s="16" t="s">
        <v>17</v>
      </c>
      <c r="G939" s="16" t="s">
        <v>17</v>
      </c>
      <c r="H939" s="16" t="s">
        <v>17</v>
      </c>
      <c r="I939" s="16" t="s">
        <v>17</v>
      </c>
      <c r="J939" s="16" t="s">
        <v>17</v>
      </c>
      <c r="K939" s="16" t="s">
        <v>384</v>
      </c>
      <c r="L939" s="16" t="s">
        <v>383</v>
      </c>
      <c r="M939" s="16" t="s">
        <v>382</v>
      </c>
      <c r="N939" s="16" t="s">
        <v>17</v>
      </c>
      <c r="O939" s="16" t="s">
        <v>6921</v>
      </c>
      <c r="P939" s="16" t="s">
        <v>17</v>
      </c>
      <c r="Q939" s="16" t="s">
        <v>6922</v>
      </c>
      <c r="R939" s="16" t="s">
        <v>6923</v>
      </c>
      <c r="S939" s="16" t="s">
        <v>17</v>
      </c>
      <c r="T939" s="16" t="s">
        <v>6947</v>
      </c>
      <c r="U939" s="16" t="s">
        <v>17</v>
      </c>
      <c r="V939" s="16" t="s">
        <v>7183</v>
      </c>
      <c r="W939" s="16" t="s">
        <v>17</v>
      </c>
      <c r="X939" s="16" t="s">
        <v>382</v>
      </c>
      <c r="Y939" s="16" t="s">
        <v>17</v>
      </c>
      <c r="Z939" s="16" t="s">
        <v>6926</v>
      </c>
    </row>
    <row r="940" spans="1:26" x14ac:dyDescent="0.3">
      <c r="A940" s="16">
        <v>939</v>
      </c>
      <c r="B940" s="16" t="s">
        <v>7577</v>
      </c>
      <c r="C940" s="17">
        <v>9781264268221</v>
      </c>
      <c r="D940" s="17">
        <v>9781264268221</v>
      </c>
      <c r="E940" s="16" t="s">
        <v>7578</v>
      </c>
      <c r="F940" s="16" t="s">
        <v>17</v>
      </c>
      <c r="G940" s="16" t="s">
        <v>17</v>
      </c>
      <c r="H940" s="16" t="s">
        <v>17</v>
      </c>
      <c r="I940" s="16" t="s">
        <v>17</v>
      </c>
      <c r="J940" s="16" t="s">
        <v>17</v>
      </c>
      <c r="K940" s="16" t="s">
        <v>567</v>
      </c>
      <c r="L940" s="16" t="s">
        <v>565</v>
      </c>
      <c r="M940" s="16" t="s">
        <v>7577</v>
      </c>
      <c r="N940" s="16" t="s">
        <v>17</v>
      </c>
      <c r="O940" s="16" t="s">
        <v>6921</v>
      </c>
      <c r="P940" s="16" t="s">
        <v>17</v>
      </c>
      <c r="Q940" s="16" t="s">
        <v>6922</v>
      </c>
      <c r="R940" s="16" t="s">
        <v>6923</v>
      </c>
      <c r="S940" s="16" t="s">
        <v>17</v>
      </c>
      <c r="T940" s="16" t="s">
        <v>7578</v>
      </c>
      <c r="U940" s="16" t="s">
        <v>17</v>
      </c>
      <c r="V940" s="16" t="s">
        <v>6929</v>
      </c>
      <c r="W940" s="16" t="s">
        <v>17</v>
      </c>
      <c r="X940" s="16" t="s">
        <v>7577</v>
      </c>
      <c r="Y940" s="16" t="s">
        <v>17</v>
      </c>
      <c r="Z940" s="16" t="s">
        <v>6926</v>
      </c>
    </row>
    <row r="941" spans="1:26" x14ac:dyDescent="0.3">
      <c r="A941" s="16">
        <v>940</v>
      </c>
      <c r="B941" s="16" t="s">
        <v>7615</v>
      </c>
      <c r="C941" s="17">
        <v>9780071663977</v>
      </c>
      <c r="D941" s="17">
        <v>9780071663977</v>
      </c>
      <c r="E941" s="16" t="s">
        <v>6920</v>
      </c>
      <c r="F941" s="16" t="s">
        <v>17</v>
      </c>
      <c r="G941" s="16" t="s">
        <v>17</v>
      </c>
      <c r="H941" s="16" t="s">
        <v>17</v>
      </c>
      <c r="I941" s="16" t="s">
        <v>17</v>
      </c>
      <c r="J941" s="16" t="s">
        <v>17</v>
      </c>
      <c r="K941" s="16" t="s">
        <v>608</v>
      </c>
      <c r="L941" s="16" t="s">
        <v>7616</v>
      </c>
      <c r="M941" s="16" t="s">
        <v>7615</v>
      </c>
      <c r="N941" s="16" t="s">
        <v>17</v>
      </c>
      <c r="O941" s="16" t="s">
        <v>6921</v>
      </c>
      <c r="P941" s="16" t="s">
        <v>17</v>
      </c>
      <c r="Q941" s="16" t="s">
        <v>6922</v>
      </c>
      <c r="R941" s="16" t="s">
        <v>6923</v>
      </c>
      <c r="S941" s="16" t="s">
        <v>17</v>
      </c>
      <c r="T941" s="16" t="s">
        <v>6920</v>
      </c>
      <c r="U941" s="16" t="s">
        <v>17</v>
      </c>
      <c r="V941" s="16" t="s">
        <v>6929</v>
      </c>
      <c r="W941" s="16" t="s">
        <v>17</v>
      </c>
      <c r="X941" s="16" t="s">
        <v>7615</v>
      </c>
      <c r="Y941" s="16" t="s">
        <v>17</v>
      </c>
      <c r="Z941" s="16" t="s">
        <v>6926</v>
      </c>
    </row>
    <row r="942" spans="1:26" x14ac:dyDescent="0.3">
      <c r="A942" s="16">
        <v>941</v>
      </c>
      <c r="B942" s="16" t="s">
        <v>8270</v>
      </c>
      <c r="C942" s="17">
        <v>9781260019575</v>
      </c>
      <c r="D942" s="17">
        <v>9781260019575</v>
      </c>
      <c r="E942" s="16" t="s">
        <v>7326</v>
      </c>
      <c r="F942" s="16" t="s">
        <v>17</v>
      </c>
      <c r="G942" s="16" t="s">
        <v>17</v>
      </c>
      <c r="H942" s="16" t="s">
        <v>17</v>
      </c>
      <c r="I942" s="16" t="s">
        <v>17</v>
      </c>
      <c r="J942" s="16" t="s">
        <v>17</v>
      </c>
      <c r="K942" s="16" t="s">
        <v>1339</v>
      </c>
      <c r="L942" s="16" t="s">
        <v>8271</v>
      </c>
      <c r="M942" s="16" t="s">
        <v>8270</v>
      </c>
      <c r="N942" s="16" t="s">
        <v>17</v>
      </c>
      <c r="O942" s="16" t="s">
        <v>6921</v>
      </c>
      <c r="P942" s="16" t="s">
        <v>17</v>
      </c>
      <c r="Q942" s="16" t="s">
        <v>6922</v>
      </c>
      <c r="R942" s="16" t="s">
        <v>6923</v>
      </c>
      <c r="S942" s="16" t="s">
        <v>17</v>
      </c>
      <c r="T942" s="16" t="s">
        <v>7326</v>
      </c>
      <c r="U942" s="16" t="s">
        <v>17</v>
      </c>
      <c r="V942" s="16" t="s">
        <v>6929</v>
      </c>
      <c r="W942" s="16" t="s">
        <v>17</v>
      </c>
      <c r="X942" s="16" t="s">
        <v>8270</v>
      </c>
      <c r="Y942" s="16" t="s">
        <v>17</v>
      </c>
      <c r="Z942" s="16" t="s">
        <v>6926</v>
      </c>
    </row>
    <row r="943" spans="1:26" x14ac:dyDescent="0.3">
      <c r="A943" s="16">
        <v>942</v>
      </c>
      <c r="B943" s="16" t="s">
        <v>7719</v>
      </c>
      <c r="C943" s="17">
        <v>9780071489287</v>
      </c>
      <c r="D943" s="17">
        <v>9780071489287</v>
      </c>
      <c r="E943" s="16" t="s">
        <v>6920</v>
      </c>
      <c r="F943" s="16" t="s">
        <v>17</v>
      </c>
      <c r="G943" s="16" t="s">
        <v>17</v>
      </c>
      <c r="H943" s="16" t="s">
        <v>17</v>
      </c>
      <c r="I943" s="16" t="s">
        <v>17</v>
      </c>
      <c r="J943" s="16" t="s">
        <v>17</v>
      </c>
      <c r="K943" s="16" t="s">
        <v>706</v>
      </c>
      <c r="L943" s="16" t="s">
        <v>17</v>
      </c>
      <c r="M943" s="16" t="s">
        <v>7719</v>
      </c>
      <c r="N943" s="16" t="s">
        <v>17</v>
      </c>
      <c r="O943" s="16" t="s">
        <v>6921</v>
      </c>
      <c r="P943" s="16" t="s">
        <v>17</v>
      </c>
      <c r="Q943" s="16" t="s">
        <v>6922</v>
      </c>
      <c r="R943" s="16" t="s">
        <v>6923</v>
      </c>
      <c r="S943" s="16" t="s">
        <v>17</v>
      </c>
      <c r="T943" s="16" t="s">
        <v>6920</v>
      </c>
      <c r="U943" s="16" t="s">
        <v>17</v>
      </c>
      <c r="V943" s="16" t="s">
        <v>6929</v>
      </c>
      <c r="W943" s="16" t="s">
        <v>705</v>
      </c>
      <c r="X943" s="16" t="s">
        <v>7719</v>
      </c>
      <c r="Y943" s="16" t="s">
        <v>17</v>
      </c>
      <c r="Z943" s="16" t="s">
        <v>6926</v>
      </c>
    </row>
    <row r="944" spans="1:26" x14ac:dyDescent="0.3">
      <c r="A944" s="16">
        <v>943</v>
      </c>
      <c r="B944" s="16" t="s">
        <v>7342</v>
      </c>
      <c r="C944" s="17">
        <v>9781260458732</v>
      </c>
      <c r="D944" s="17">
        <v>9781260458732</v>
      </c>
      <c r="E944" s="16" t="s">
        <v>7343</v>
      </c>
      <c r="F944" s="16" t="s">
        <v>17</v>
      </c>
      <c r="G944" s="16" t="s">
        <v>17</v>
      </c>
      <c r="H944" s="16" t="s">
        <v>17</v>
      </c>
      <c r="I944" s="16" t="s">
        <v>17</v>
      </c>
      <c r="J944" s="16" t="s">
        <v>17</v>
      </c>
      <c r="K944" s="16" t="s">
        <v>362</v>
      </c>
      <c r="L944" s="16" t="s">
        <v>7344</v>
      </c>
      <c r="M944" s="16" t="s">
        <v>7342</v>
      </c>
      <c r="N944" s="16" t="s">
        <v>17</v>
      </c>
      <c r="O944" s="16" t="s">
        <v>6921</v>
      </c>
      <c r="P944" s="16" t="s">
        <v>17</v>
      </c>
      <c r="Q944" s="16" t="s">
        <v>6922</v>
      </c>
      <c r="R944" s="16" t="s">
        <v>6923</v>
      </c>
      <c r="S944" s="16" t="s">
        <v>17</v>
      </c>
      <c r="T944" s="16" t="s">
        <v>7343</v>
      </c>
      <c r="U944" s="16" t="s">
        <v>17</v>
      </c>
      <c r="V944" s="16" t="s">
        <v>6924</v>
      </c>
      <c r="W944" s="16" t="s">
        <v>17</v>
      </c>
      <c r="X944" s="16" t="s">
        <v>7342</v>
      </c>
      <c r="Y944" s="16" t="s">
        <v>17</v>
      </c>
      <c r="Z944" s="16" t="s">
        <v>6926</v>
      </c>
    </row>
    <row r="945" spans="1:26" x14ac:dyDescent="0.3">
      <c r="A945" s="16">
        <v>944</v>
      </c>
      <c r="B945" s="16" t="s">
        <v>7342</v>
      </c>
      <c r="C945" s="17">
        <v>9780071422666</v>
      </c>
      <c r="D945" s="17">
        <v>9780071422666</v>
      </c>
      <c r="E945" s="16" t="s">
        <v>7054</v>
      </c>
      <c r="F945" s="16" t="s">
        <v>17</v>
      </c>
      <c r="G945" s="16" t="s">
        <v>17</v>
      </c>
      <c r="H945" s="16" t="s">
        <v>17</v>
      </c>
      <c r="I945" s="16" t="s">
        <v>17</v>
      </c>
      <c r="J945" s="16" t="s">
        <v>17</v>
      </c>
      <c r="K945" s="16" t="s">
        <v>841</v>
      </c>
      <c r="L945" s="16" t="s">
        <v>840</v>
      </c>
      <c r="M945" s="16" t="s">
        <v>7342</v>
      </c>
      <c r="N945" s="16" t="s">
        <v>17</v>
      </c>
      <c r="O945" s="16" t="s">
        <v>6921</v>
      </c>
      <c r="P945" s="16" t="s">
        <v>17</v>
      </c>
      <c r="Q945" s="16" t="s">
        <v>6922</v>
      </c>
      <c r="R945" s="16" t="s">
        <v>6923</v>
      </c>
      <c r="S945" s="16" t="s">
        <v>17</v>
      </c>
      <c r="T945" s="16" t="s">
        <v>7054</v>
      </c>
      <c r="U945" s="16" t="s">
        <v>17</v>
      </c>
      <c r="V945" s="16" t="s">
        <v>6929</v>
      </c>
      <c r="W945" s="16" t="s">
        <v>17</v>
      </c>
      <c r="X945" s="16" t="s">
        <v>7342</v>
      </c>
      <c r="Y945" s="16" t="s">
        <v>17</v>
      </c>
      <c r="Z945" s="16" t="s">
        <v>6926</v>
      </c>
    </row>
    <row r="946" spans="1:26" x14ac:dyDescent="0.3">
      <c r="A946" s="16">
        <v>945</v>
      </c>
      <c r="B946" s="16" t="s">
        <v>8208</v>
      </c>
      <c r="C946" s="17">
        <v>9781260116434</v>
      </c>
      <c r="D946" s="17">
        <v>9781260116434</v>
      </c>
      <c r="E946" s="16" t="s">
        <v>8116</v>
      </c>
      <c r="F946" s="16" t="s">
        <v>17</v>
      </c>
      <c r="G946" s="16" t="s">
        <v>17</v>
      </c>
      <c r="H946" s="16" t="s">
        <v>17</v>
      </c>
      <c r="I946" s="16" t="s">
        <v>17</v>
      </c>
      <c r="J946" s="16" t="s">
        <v>17</v>
      </c>
      <c r="K946" s="16" t="s">
        <v>1286</v>
      </c>
      <c r="L946" s="16" t="s">
        <v>1285</v>
      </c>
      <c r="M946" s="16" t="s">
        <v>8208</v>
      </c>
      <c r="N946" s="16" t="s">
        <v>17</v>
      </c>
      <c r="O946" s="16" t="s">
        <v>6921</v>
      </c>
      <c r="P946" s="16" t="s">
        <v>17</v>
      </c>
      <c r="Q946" s="16" t="s">
        <v>6922</v>
      </c>
      <c r="R946" s="16" t="s">
        <v>6923</v>
      </c>
      <c r="S946" s="16" t="s">
        <v>17</v>
      </c>
      <c r="T946" s="16" t="s">
        <v>8116</v>
      </c>
      <c r="U946" s="16" t="s">
        <v>17</v>
      </c>
      <c r="V946" s="16" t="s">
        <v>6944</v>
      </c>
      <c r="W946" s="16" t="s">
        <v>17</v>
      </c>
      <c r="X946" s="16" t="s">
        <v>8208</v>
      </c>
      <c r="Y946" s="16" t="s">
        <v>17</v>
      </c>
      <c r="Z946" s="16" t="s">
        <v>6926</v>
      </c>
    </row>
    <row r="947" spans="1:26" x14ac:dyDescent="0.3">
      <c r="A947" s="16">
        <v>946</v>
      </c>
      <c r="B947" s="16" t="s">
        <v>8137</v>
      </c>
      <c r="C947" s="17">
        <v>9780071770187</v>
      </c>
      <c r="D947" s="17">
        <v>9780071770187</v>
      </c>
      <c r="E947" s="16" t="s">
        <v>7673</v>
      </c>
      <c r="F947" s="16" t="s">
        <v>17</v>
      </c>
      <c r="G947" s="16" t="s">
        <v>17</v>
      </c>
      <c r="H947" s="16" t="s">
        <v>17</v>
      </c>
      <c r="I947" s="16" t="s">
        <v>17</v>
      </c>
      <c r="J947" s="16" t="s">
        <v>17</v>
      </c>
      <c r="K947" s="16" t="s">
        <v>1228</v>
      </c>
      <c r="L947" s="16" t="s">
        <v>66</v>
      </c>
      <c r="M947" s="16" t="s">
        <v>8137</v>
      </c>
      <c r="N947" s="16" t="s">
        <v>17</v>
      </c>
      <c r="O947" s="16" t="s">
        <v>6921</v>
      </c>
      <c r="P947" s="16" t="s">
        <v>17</v>
      </c>
      <c r="Q947" s="16" t="s">
        <v>6922</v>
      </c>
      <c r="R947" s="16" t="s">
        <v>6923</v>
      </c>
      <c r="S947" s="16" t="s">
        <v>17</v>
      </c>
      <c r="T947" s="16" t="s">
        <v>7673</v>
      </c>
      <c r="U947" s="16" t="s">
        <v>17</v>
      </c>
      <c r="V947" s="16" t="s">
        <v>6949</v>
      </c>
      <c r="W947" s="16" t="s">
        <v>17</v>
      </c>
      <c r="X947" s="16" t="s">
        <v>8137</v>
      </c>
      <c r="Y947" s="16" t="s">
        <v>17</v>
      </c>
      <c r="Z947" s="16" t="s">
        <v>6926</v>
      </c>
    </row>
    <row r="948" spans="1:26" x14ac:dyDescent="0.3">
      <c r="A948" s="16">
        <v>947</v>
      </c>
      <c r="B948" s="16" t="s">
        <v>8223</v>
      </c>
      <c r="C948" s="17">
        <v>9781260143560</v>
      </c>
      <c r="D948" s="17">
        <v>9781260143560</v>
      </c>
      <c r="E948" s="16" t="s">
        <v>7736</v>
      </c>
      <c r="F948" s="16" t="s">
        <v>17</v>
      </c>
      <c r="G948" s="16" t="s">
        <v>17</v>
      </c>
      <c r="H948" s="16" t="s">
        <v>17</v>
      </c>
      <c r="I948" s="16" t="s">
        <v>17</v>
      </c>
      <c r="J948" s="16" t="s">
        <v>17</v>
      </c>
      <c r="K948" s="16" t="s">
        <v>1301</v>
      </c>
      <c r="L948" s="16" t="s">
        <v>1093</v>
      </c>
      <c r="M948" s="16" t="s">
        <v>8223</v>
      </c>
      <c r="N948" s="16" t="s">
        <v>17</v>
      </c>
      <c r="O948" s="16" t="s">
        <v>6921</v>
      </c>
      <c r="P948" s="16" t="s">
        <v>17</v>
      </c>
      <c r="Q948" s="16" t="s">
        <v>6922</v>
      </c>
      <c r="R948" s="16" t="s">
        <v>6923</v>
      </c>
      <c r="S948" s="16" t="s">
        <v>17</v>
      </c>
      <c r="T948" s="16" t="s">
        <v>7736</v>
      </c>
      <c r="U948" s="16" t="s">
        <v>17</v>
      </c>
      <c r="V948" s="16" t="s">
        <v>6929</v>
      </c>
      <c r="W948" s="16" t="s">
        <v>17</v>
      </c>
      <c r="X948" s="16" t="s">
        <v>8223</v>
      </c>
      <c r="Y948" s="16" t="s">
        <v>17</v>
      </c>
      <c r="Z948" s="16" t="s">
        <v>6926</v>
      </c>
    </row>
    <row r="949" spans="1:26" x14ac:dyDescent="0.3">
      <c r="A949" s="16">
        <v>948</v>
      </c>
      <c r="B949" s="16" t="s">
        <v>1379</v>
      </c>
      <c r="C949" s="17">
        <v>9780070483576</v>
      </c>
      <c r="D949" s="17">
        <v>9780070483576</v>
      </c>
      <c r="E949" s="16" t="s">
        <v>6995</v>
      </c>
      <c r="F949" s="16" t="s">
        <v>17</v>
      </c>
      <c r="G949" s="16" t="s">
        <v>17</v>
      </c>
      <c r="H949" s="16" t="s">
        <v>17</v>
      </c>
      <c r="I949" s="16" t="s">
        <v>17</v>
      </c>
      <c r="J949" s="16" t="s">
        <v>17</v>
      </c>
      <c r="K949" s="16" t="s">
        <v>1381</v>
      </c>
      <c r="L949" s="16" t="s">
        <v>1380</v>
      </c>
      <c r="M949" s="16" t="s">
        <v>1379</v>
      </c>
      <c r="N949" s="16" t="s">
        <v>17</v>
      </c>
      <c r="O949" s="16" t="s">
        <v>6921</v>
      </c>
      <c r="P949" s="16" t="s">
        <v>17</v>
      </c>
      <c r="Q949" s="16" t="s">
        <v>6922</v>
      </c>
      <c r="R949" s="16" t="s">
        <v>6923</v>
      </c>
      <c r="S949" s="16" t="s">
        <v>17</v>
      </c>
      <c r="T949" s="16" t="s">
        <v>6995</v>
      </c>
      <c r="U949" s="16" t="s">
        <v>17</v>
      </c>
      <c r="V949" s="16" t="s">
        <v>7183</v>
      </c>
      <c r="W949" s="16" t="s">
        <v>17</v>
      </c>
      <c r="X949" s="16" t="s">
        <v>1379</v>
      </c>
      <c r="Y949" s="16" t="s">
        <v>17</v>
      </c>
      <c r="Z949" s="16" t="s">
        <v>6926</v>
      </c>
    </row>
    <row r="950" spans="1:26" x14ac:dyDescent="0.3">
      <c r="A950" s="16">
        <v>949</v>
      </c>
      <c r="B950" s="16" t="s">
        <v>7022</v>
      </c>
      <c r="C950" s="17">
        <v>9780070707023</v>
      </c>
      <c r="D950" s="17">
        <v>9780070707023</v>
      </c>
      <c r="E950" s="16" t="s">
        <v>6947</v>
      </c>
      <c r="F950" s="16" t="s">
        <v>17</v>
      </c>
      <c r="G950" s="16" t="s">
        <v>17</v>
      </c>
      <c r="H950" s="16" t="s">
        <v>17</v>
      </c>
      <c r="I950" s="16" t="s">
        <v>17</v>
      </c>
      <c r="J950" s="16" t="s">
        <v>17</v>
      </c>
      <c r="K950" s="16" t="s">
        <v>91</v>
      </c>
      <c r="L950" s="16" t="s">
        <v>7023</v>
      </c>
      <c r="M950" s="16" t="s">
        <v>7022</v>
      </c>
      <c r="N950" s="16" t="s">
        <v>17</v>
      </c>
      <c r="O950" s="16" t="s">
        <v>6921</v>
      </c>
      <c r="P950" s="16" t="s">
        <v>17</v>
      </c>
      <c r="Q950" s="16" t="s">
        <v>6922</v>
      </c>
      <c r="R950" s="16" t="s">
        <v>6923</v>
      </c>
      <c r="S950" s="16" t="s">
        <v>17</v>
      </c>
      <c r="T950" s="16" t="s">
        <v>6947</v>
      </c>
      <c r="U950" s="16" t="s">
        <v>17</v>
      </c>
      <c r="V950" s="16" t="s">
        <v>7024</v>
      </c>
      <c r="W950" s="16" t="s">
        <v>17</v>
      </c>
      <c r="X950" s="16" t="s">
        <v>7022</v>
      </c>
      <c r="Y950" s="16" t="s">
        <v>17</v>
      </c>
      <c r="Z950" s="16" t="s">
        <v>6926</v>
      </c>
    </row>
    <row r="951" spans="1:26" x14ac:dyDescent="0.3">
      <c r="A951" s="16">
        <v>950</v>
      </c>
      <c r="B951" s="16" t="s">
        <v>7483</v>
      </c>
      <c r="C951" s="17">
        <v>9780070144569</v>
      </c>
      <c r="D951" s="17">
        <v>9780070144569</v>
      </c>
      <c r="E951" s="16" t="s">
        <v>6947</v>
      </c>
      <c r="F951" s="16" t="s">
        <v>17</v>
      </c>
      <c r="G951" s="16" t="s">
        <v>17</v>
      </c>
      <c r="H951" s="16" t="s">
        <v>17</v>
      </c>
      <c r="I951" s="16" t="s">
        <v>17</v>
      </c>
      <c r="J951" s="16" t="s">
        <v>17</v>
      </c>
      <c r="K951" s="16" t="s">
        <v>493</v>
      </c>
      <c r="L951" s="16" t="s">
        <v>7484</v>
      </c>
      <c r="M951" s="16" t="s">
        <v>7483</v>
      </c>
      <c r="N951" s="16" t="s">
        <v>17</v>
      </c>
      <c r="O951" s="16" t="s">
        <v>6921</v>
      </c>
      <c r="P951" s="16" t="s">
        <v>17</v>
      </c>
      <c r="Q951" s="16" t="s">
        <v>6922</v>
      </c>
      <c r="R951" s="16" t="s">
        <v>6923</v>
      </c>
      <c r="S951" s="16" t="s">
        <v>17</v>
      </c>
      <c r="T951" s="16" t="s">
        <v>6947</v>
      </c>
      <c r="U951" s="16" t="s">
        <v>17</v>
      </c>
      <c r="V951" s="16" t="s">
        <v>6929</v>
      </c>
      <c r="W951" s="16" t="s">
        <v>17</v>
      </c>
      <c r="X951" s="16" t="s">
        <v>7483</v>
      </c>
      <c r="Y951" s="16" t="s">
        <v>17</v>
      </c>
      <c r="Z951" s="16" t="s">
        <v>6926</v>
      </c>
    </row>
    <row r="952" spans="1:26" x14ac:dyDescent="0.3">
      <c r="A952" s="16">
        <v>951</v>
      </c>
      <c r="B952" s="16" t="s">
        <v>6958</v>
      </c>
      <c r="C952" s="17">
        <v>9780071626965</v>
      </c>
      <c r="D952" s="17">
        <v>9780071626965</v>
      </c>
      <c r="E952" s="16" t="s">
        <v>6959</v>
      </c>
      <c r="F952" s="16" t="s">
        <v>17</v>
      </c>
      <c r="G952" s="16" t="s">
        <v>17</v>
      </c>
      <c r="H952" s="16" t="s">
        <v>17</v>
      </c>
      <c r="I952" s="16" t="s">
        <v>17</v>
      </c>
      <c r="J952" s="16" t="s">
        <v>17</v>
      </c>
      <c r="K952" s="16" t="s">
        <v>44</v>
      </c>
      <c r="L952" s="16" t="s">
        <v>6960</v>
      </c>
      <c r="M952" s="16" t="s">
        <v>6958</v>
      </c>
      <c r="N952" s="16" t="s">
        <v>17</v>
      </c>
      <c r="O952" s="16" t="s">
        <v>6921</v>
      </c>
      <c r="P952" s="16" t="s">
        <v>17</v>
      </c>
      <c r="Q952" s="16" t="s">
        <v>6922</v>
      </c>
      <c r="R952" s="16" t="s">
        <v>6923</v>
      </c>
      <c r="S952" s="16" t="s">
        <v>17</v>
      </c>
      <c r="T952" s="16" t="s">
        <v>6959</v>
      </c>
      <c r="U952" s="16" t="s">
        <v>17</v>
      </c>
      <c r="V952" s="16" t="s">
        <v>6924</v>
      </c>
      <c r="W952" s="16" t="s">
        <v>17</v>
      </c>
      <c r="X952" s="16" t="s">
        <v>6958</v>
      </c>
      <c r="Y952" s="16" t="s">
        <v>17</v>
      </c>
      <c r="Z952" s="16" t="s">
        <v>6926</v>
      </c>
    </row>
    <row r="953" spans="1:26" x14ac:dyDescent="0.3">
      <c r="A953" s="16">
        <v>952</v>
      </c>
      <c r="B953" s="16" t="s">
        <v>1509</v>
      </c>
      <c r="C953" s="17">
        <v>9780071395953</v>
      </c>
      <c r="D953" s="17">
        <v>9780071395953</v>
      </c>
      <c r="E953" s="16" t="s">
        <v>6920</v>
      </c>
      <c r="F953" s="16" t="s">
        <v>17</v>
      </c>
      <c r="G953" s="16" t="s">
        <v>17</v>
      </c>
      <c r="H953" s="16" t="s">
        <v>17</v>
      </c>
      <c r="I953" s="16" t="s">
        <v>17</v>
      </c>
      <c r="J953" s="16" t="s">
        <v>17</v>
      </c>
      <c r="K953" s="16" t="s">
        <v>1511</v>
      </c>
      <c r="L953" s="16" t="s">
        <v>1510</v>
      </c>
      <c r="M953" s="16" t="s">
        <v>1509</v>
      </c>
      <c r="N953" s="16" t="s">
        <v>17</v>
      </c>
      <c r="O953" s="16" t="s">
        <v>6921</v>
      </c>
      <c r="P953" s="16" t="s">
        <v>17</v>
      </c>
      <c r="Q953" s="16" t="s">
        <v>6922</v>
      </c>
      <c r="R953" s="16" t="s">
        <v>6923</v>
      </c>
      <c r="S953" s="16" t="s">
        <v>17</v>
      </c>
      <c r="T953" s="16" t="s">
        <v>6920</v>
      </c>
      <c r="U953" s="16" t="s">
        <v>17</v>
      </c>
      <c r="V953" s="16" t="s">
        <v>7049</v>
      </c>
      <c r="W953" s="16" t="s">
        <v>17</v>
      </c>
      <c r="X953" s="16" t="s">
        <v>1509</v>
      </c>
      <c r="Y953" s="16" t="s">
        <v>17</v>
      </c>
      <c r="Z953" s="16" t="s">
        <v>6926</v>
      </c>
    </row>
    <row r="954" spans="1:26" x14ac:dyDescent="0.3">
      <c r="A954" s="16">
        <v>953</v>
      </c>
      <c r="B954" s="16" t="s">
        <v>7334</v>
      </c>
      <c r="C954" s="17">
        <v>9781260466683</v>
      </c>
      <c r="D954" s="17">
        <v>9781260466683</v>
      </c>
      <c r="E954" s="16" t="s">
        <v>7335</v>
      </c>
      <c r="F954" s="16" t="s">
        <v>17</v>
      </c>
      <c r="G954" s="16" t="s">
        <v>17</v>
      </c>
      <c r="H954" s="16" t="s">
        <v>17</v>
      </c>
      <c r="I954" s="16" t="s">
        <v>17</v>
      </c>
      <c r="J954" s="16" t="s">
        <v>17</v>
      </c>
      <c r="K954" s="16" t="s">
        <v>358</v>
      </c>
      <c r="L954" s="16" t="s">
        <v>357</v>
      </c>
      <c r="M954" s="16" t="s">
        <v>7334</v>
      </c>
      <c r="N954" s="16" t="s">
        <v>17</v>
      </c>
      <c r="O954" s="16" t="s">
        <v>6921</v>
      </c>
      <c r="P954" s="16" t="s">
        <v>17</v>
      </c>
      <c r="Q954" s="16" t="s">
        <v>6922</v>
      </c>
      <c r="R954" s="16" t="s">
        <v>6923</v>
      </c>
      <c r="S954" s="16" t="s">
        <v>17</v>
      </c>
      <c r="T954" s="16" t="s">
        <v>7335</v>
      </c>
      <c r="U954" s="16" t="s">
        <v>17</v>
      </c>
      <c r="V954" s="16" t="s">
        <v>6929</v>
      </c>
      <c r="W954" s="16" t="s">
        <v>17</v>
      </c>
      <c r="X954" s="16" t="s">
        <v>7334</v>
      </c>
      <c r="Y954" s="16" t="s">
        <v>17</v>
      </c>
      <c r="Z954" s="16" t="s">
        <v>6926</v>
      </c>
    </row>
    <row r="955" spans="1:26" x14ac:dyDescent="0.3">
      <c r="A955" s="16">
        <v>954</v>
      </c>
      <c r="B955" s="16" t="s">
        <v>7193</v>
      </c>
      <c r="C955" s="17">
        <v>9780071544689</v>
      </c>
      <c r="D955" s="17">
        <v>9780071544689</v>
      </c>
      <c r="E955" s="16" t="s">
        <v>6920</v>
      </c>
      <c r="F955" s="16" t="s">
        <v>17</v>
      </c>
      <c r="G955" s="16" t="s">
        <v>17</v>
      </c>
      <c r="H955" s="16" t="s">
        <v>17</v>
      </c>
      <c r="I955" s="16" t="s">
        <v>17</v>
      </c>
      <c r="J955" s="16" t="s">
        <v>17</v>
      </c>
      <c r="K955" s="16" t="s">
        <v>238</v>
      </c>
      <c r="L955" s="16" t="s">
        <v>237</v>
      </c>
      <c r="M955" s="16" t="s">
        <v>7193</v>
      </c>
      <c r="N955" s="16" t="s">
        <v>17</v>
      </c>
      <c r="O955" s="16" t="s">
        <v>6921</v>
      </c>
      <c r="P955" s="16" t="s">
        <v>17</v>
      </c>
      <c r="Q955" s="16" t="s">
        <v>6922</v>
      </c>
      <c r="R955" s="16" t="s">
        <v>6923</v>
      </c>
      <c r="S955" s="16" t="s">
        <v>17</v>
      </c>
      <c r="T955" s="16" t="s">
        <v>6920</v>
      </c>
      <c r="U955" s="16" t="s">
        <v>17</v>
      </c>
      <c r="V955" s="16" t="s">
        <v>6929</v>
      </c>
      <c r="W955" s="16" t="s">
        <v>17</v>
      </c>
      <c r="X955" s="16" t="s">
        <v>7193</v>
      </c>
      <c r="Y955" s="16" t="s">
        <v>17</v>
      </c>
      <c r="Z955" s="16" t="s">
        <v>6926</v>
      </c>
    </row>
    <row r="956" spans="1:26" x14ac:dyDescent="0.3">
      <c r="A956" s="16">
        <v>955</v>
      </c>
      <c r="B956" s="16" t="s">
        <v>7255</v>
      </c>
      <c r="C956" s="17">
        <v>9781259002731</v>
      </c>
      <c r="D956" s="17">
        <v>9781259002731</v>
      </c>
      <c r="E956" s="16" t="s">
        <v>6987</v>
      </c>
      <c r="F956" s="16" t="s">
        <v>17</v>
      </c>
      <c r="G956" s="16" t="s">
        <v>17</v>
      </c>
      <c r="H956" s="16" t="s">
        <v>17</v>
      </c>
      <c r="I956" s="16" t="s">
        <v>17</v>
      </c>
      <c r="J956" s="16" t="s">
        <v>17</v>
      </c>
      <c r="K956" s="16" t="s">
        <v>287</v>
      </c>
      <c r="L956" s="16" t="s">
        <v>286</v>
      </c>
      <c r="M956" s="16" t="s">
        <v>7255</v>
      </c>
      <c r="N956" s="16" t="s">
        <v>17</v>
      </c>
      <c r="O956" s="16" t="s">
        <v>6921</v>
      </c>
      <c r="P956" s="16" t="s">
        <v>17</v>
      </c>
      <c r="Q956" s="16" t="s">
        <v>6922</v>
      </c>
      <c r="R956" s="16" t="s">
        <v>6923</v>
      </c>
      <c r="S956" s="16" t="s">
        <v>17</v>
      </c>
      <c r="T956" s="16" t="s">
        <v>6987</v>
      </c>
      <c r="U956" s="16" t="s">
        <v>17</v>
      </c>
      <c r="V956" s="16" t="s">
        <v>6929</v>
      </c>
      <c r="W956" s="16" t="s">
        <v>17</v>
      </c>
      <c r="X956" s="16" t="s">
        <v>7255</v>
      </c>
      <c r="Y956" s="16" t="s">
        <v>17</v>
      </c>
      <c r="Z956" s="16" t="s">
        <v>6926</v>
      </c>
    </row>
    <row r="957" spans="1:26" x14ac:dyDescent="0.3">
      <c r="A957" s="16">
        <v>956</v>
      </c>
      <c r="B957" s="16" t="s">
        <v>7052</v>
      </c>
      <c r="C957" s="17">
        <v>9780071371605</v>
      </c>
      <c r="D957" s="17">
        <v>9780071371605</v>
      </c>
      <c r="E957" s="16" t="s">
        <v>6920</v>
      </c>
      <c r="F957" s="16" t="s">
        <v>17</v>
      </c>
      <c r="G957" s="16" t="s">
        <v>17</v>
      </c>
      <c r="H957" s="16" t="s">
        <v>17</v>
      </c>
      <c r="I957" s="16" t="s">
        <v>17</v>
      </c>
      <c r="J957" s="16" t="s">
        <v>17</v>
      </c>
      <c r="K957" s="16" t="s">
        <v>115</v>
      </c>
      <c r="L957" s="16" t="s">
        <v>17</v>
      </c>
      <c r="M957" s="16" t="s">
        <v>7052</v>
      </c>
      <c r="N957" s="16" t="s">
        <v>17</v>
      </c>
      <c r="O957" s="16" t="s">
        <v>6921</v>
      </c>
      <c r="P957" s="16" t="s">
        <v>17</v>
      </c>
      <c r="Q957" s="16" t="s">
        <v>6922</v>
      </c>
      <c r="R957" s="16" t="s">
        <v>6923</v>
      </c>
      <c r="S957" s="16" t="s">
        <v>17</v>
      </c>
      <c r="T957" s="16" t="s">
        <v>6920</v>
      </c>
      <c r="U957" s="16" t="s">
        <v>17</v>
      </c>
      <c r="V957" s="16" t="s">
        <v>6929</v>
      </c>
      <c r="W957" s="16" t="s">
        <v>7009</v>
      </c>
      <c r="X957" s="16" t="s">
        <v>7052</v>
      </c>
      <c r="Y957" s="16" t="s">
        <v>17</v>
      </c>
      <c r="Z957" s="16" t="s">
        <v>6926</v>
      </c>
    </row>
    <row r="958" spans="1:26" x14ac:dyDescent="0.3">
      <c r="A958" s="16">
        <v>957</v>
      </c>
      <c r="B958" s="16" t="s">
        <v>8238</v>
      </c>
      <c r="C958" s="17">
        <v>9780071743891</v>
      </c>
      <c r="D958" s="17">
        <v>9780071743891</v>
      </c>
      <c r="E958" s="16" t="s">
        <v>8239</v>
      </c>
      <c r="F958" s="16" t="s">
        <v>17</v>
      </c>
      <c r="G958" s="16" t="s">
        <v>17</v>
      </c>
      <c r="H958" s="16" t="s">
        <v>17</v>
      </c>
      <c r="I958" s="16" t="s">
        <v>17</v>
      </c>
      <c r="J958" s="16" t="s">
        <v>17</v>
      </c>
      <c r="K958" s="16" t="s">
        <v>1314</v>
      </c>
      <c r="L958" s="16" t="s">
        <v>8240</v>
      </c>
      <c r="M958" s="16" t="s">
        <v>8238</v>
      </c>
      <c r="N958" s="16" t="s">
        <v>17</v>
      </c>
      <c r="O958" s="16" t="s">
        <v>6921</v>
      </c>
      <c r="P958" s="16" t="s">
        <v>17</v>
      </c>
      <c r="Q958" s="16" t="s">
        <v>6922</v>
      </c>
      <c r="R958" s="16" t="s">
        <v>6923</v>
      </c>
      <c r="S958" s="16" t="s">
        <v>17</v>
      </c>
      <c r="T958" s="16" t="s">
        <v>8239</v>
      </c>
      <c r="U958" s="16" t="s">
        <v>17</v>
      </c>
      <c r="V958" s="16" t="s">
        <v>6949</v>
      </c>
      <c r="W958" s="16" t="s">
        <v>17</v>
      </c>
      <c r="X958" s="16" t="s">
        <v>8238</v>
      </c>
      <c r="Y958" s="16" t="s">
        <v>17</v>
      </c>
      <c r="Z958" s="16" t="s">
        <v>6926</v>
      </c>
    </row>
    <row r="959" spans="1:26" x14ac:dyDescent="0.3">
      <c r="A959" s="16">
        <v>958</v>
      </c>
      <c r="B959" s="16" t="s">
        <v>7849</v>
      </c>
      <c r="C959" s="17">
        <v>9780071400701</v>
      </c>
      <c r="D959" s="17">
        <v>9780071400701</v>
      </c>
      <c r="E959" s="16" t="s">
        <v>6920</v>
      </c>
      <c r="F959" s="16" t="s">
        <v>17</v>
      </c>
      <c r="G959" s="16" t="s">
        <v>17</v>
      </c>
      <c r="H959" s="16" t="s">
        <v>17</v>
      </c>
      <c r="I959" s="16" t="s">
        <v>17</v>
      </c>
      <c r="J959" s="16" t="s">
        <v>17</v>
      </c>
      <c r="K959" s="16" t="s">
        <v>843</v>
      </c>
      <c r="L959" s="16" t="s">
        <v>842</v>
      </c>
      <c r="M959" s="16" t="s">
        <v>7849</v>
      </c>
      <c r="N959" s="16" t="s">
        <v>17</v>
      </c>
      <c r="O959" s="16" t="s">
        <v>6921</v>
      </c>
      <c r="P959" s="16" t="s">
        <v>17</v>
      </c>
      <c r="Q959" s="16" t="s">
        <v>6922</v>
      </c>
      <c r="R959" s="16" t="s">
        <v>6923</v>
      </c>
      <c r="S959" s="16" t="s">
        <v>17</v>
      </c>
      <c r="T959" s="16" t="s">
        <v>6920</v>
      </c>
      <c r="U959" s="16" t="s">
        <v>17</v>
      </c>
      <c r="V959" s="16" t="s">
        <v>7431</v>
      </c>
      <c r="W959" s="16" t="s">
        <v>17</v>
      </c>
      <c r="X959" s="16" t="s">
        <v>7849</v>
      </c>
      <c r="Y959" s="16" t="s">
        <v>17</v>
      </c>
      <c r="Z959" s="16" t="s">
        <v>6926</v>
      </c>
    </row>
    <row r="960" spans="1:26" x14ac:dyDescent="0.3">
      <c r="A960" s="16">
        <v>959</v>
      </c>
      <c r="B960" s="16" t="s">
        <v>7020</v>
      </c>
      <c r="C960" s="17">
        <v>9780070148789</v>
      </c>
      <c r="D960" s="17">
        <v>9780070148789</v>
      </c>
      <c r="E960" s="16" t="s">
        <v>6947</v>
      </c>
      <c r="F960" s="16" t="s">
        <v>17</v>
      </c>
      <c r="G960" s="16" t="s">
        <v>17</v>
      </c>
      <c r="H960" s="16" t="s">
        <v>17</v>
      </c>
      <c r="I960" s="16" t="s">
        <v>17</v>
      </c>
      <c r="J960" s="16" t="s">
        <v>17</v>
      </c>
      <c r="K960" s="16" t="s">
        <v>89</v>
      </c>
      <c r="L960" s="16" t="s">
        <v>7021</v>
      </c>
      <c r="M960" s="16" t="s">
        <v>7020</v>
      </c>
      <c r="N960" s="16" t="s">
        <v>17</v>
      </c>
      <c r="O960" s="16" t="s">
        <v>6921</v>
      </c>
      <c r="P960" s="16" t="s">
        <v>17</v>
      </c>
      <c r="Q960" s="16" t="s">
        <v>6922</v>
      </c>
      <c r="R960" s="16" t="s">
        <v>6923</v>
      </c>
      <c r="S960" s="16" t="s">
        <v>17</v>
      </c>
      <c r="T960" s="16" t="s">
        <v>6947</v>
      </c>
      <c r="U960" s="16" t="s">
        <v>17</v>
      </c>
      <c r="V960" s="16" t="s">
        <v>6929</v>
      </c>
      <c r="W960" s="16" t="s">
        <v>17</v>
      </c>
      <c r="X960" s="16" t="s">
        <v>7020</v>
      </c>
      <c r="Y960" s="16" t="s">
        <v>17</v>
      </c>
      <c r="Z960" s="16" t="s">
        <v>6926</v>
      </c>
    </row>
    <row r="961" spans="1:26" x14ac:dyDescent="0.3">
      <c r="A961" s="16">
        <v>960</v>
      </c>
      <c r="B961" s="16" t="s">
        <v>7990</v>
      </c>
      <c r="C961" s="17">
        <v>9780071596992</v>
      </c>
      <c r="D961" s="17">
        <v>9780071596992</v>
      </c>
      <c r="E961" s="16" t="s">
        <v>6920</v>
      </c>
      <c r="F961" s="16" t="s">
        <v>17</v>
      </c>
      <c r="G961" s="16" t="s">
        <v>17</v>
      </c>
      <c r="H961" s="16" t="s">
        <v>17</v>
      </c>
      <c r="I961" s="16" t="s">
        <v>17</v>
      </c>
      <c r="J961" s="16" t="s">
        <v>17</v>
      </c>
      <c r="K961" s="16" t="s">
        <v>1030</v>
      </c>
      <c r="L961" s="16" t="s">
        <v>17</v>
      </c>
      <c r="M961" s="16" t="s">
        <v>7990</v>
      </c>
      <c r="N961" s="16" t="s">
        <v>17</v>
      </c>
      <c r="O961" s="16" t="s">
        <v>6921</v>
      </c>
      <c r="P961" s="16" t="s">
        <v>17</v>
      </c>
      <c r="Q961" s="16" t="s">
        <v>6922</v>
      </c>
      <c r="R961" s="16" t="s">
        <v>6923</v>
      </c>
      <c r="S961" s="16" t="s">
        <v>17</v>
      </c>
      <c r="T961" s="16" t="s">
        <v>6920</v>
      </c>
      <c r="U961" s="16" t="s">
        <v>17</v>
      </c>
      <c r="V961" s="16" t="s">
        <v>6929</v>
      </c>
      <c r="W961" s="16" t="s">
        <v>1029</v>
      </c>
      <c r="X961" s="16" t="s">
        <v>7990</v>
      </c>
      <c r="Y961" s="16" t="s">
        <v>17</v>
      </c>
      <c r="Z961" s="16" t="s">
        <v>6926</v>
      </c>
    </row>
    <row r="962" spans="1:26" x14ac:dyDescent="0.3">
      <c r="A962" s="16">
        <v>961</v>
      </c>
      <c r="B962" s="16" t="s">
        <v>7603</v>
      </c>
      <c r="C962" s="17">
        <v>9780071714792</v>
      </c>
      <c r="D962" s="17">
        <v>9780071714792</v>
      </c>
      <c r="E962" s="16" t="s">
        <v>7271</v>
      </c>
      <c r="F962" s="16" t="s">
        <v>17</v>
      </c>
      <c r="G962" s="16" t="s">
        <v>17</v>
      </c>
      <c r="H962" s="16" t="s">
        <v>17</v>
      </c>
      <c r="I962" s="16" t="s">
        <v>17</v>
      </c>
      <c r="J962" s="16" t="s">
        <v>17</v>
      </c>
      <c r="K962" s="16" t="s">
        <v>597</v>
      </c>
      <c r="L962" s="16" t="s">
        <v>7604</v>
      </c>
      <c r="M962" s="16" t="s">
        <v>7603</v>
      </c>
      <c r="N962" s="16" t="s">
        <v>17</v>
      </c>
      <c r="O962" s="16" t="s">
        <v>6921</v>
      </c>
      <c r="P962" s="16" t="s">
        <v>17</v>
      </c>
      <c r="Q962" s="16" t="s">
        <v>6922</v>
      </c>
      <c r="R962" s="16" t="s">
        <v>6923</v>
      </c>
      <c r="S962" s="16" t="s">
        <v>17</v>
      </c>
      <c r="T962" s="16" t="s">
        <v>7271</v>
      </c>
      <c r="U962" s="16" t="s">
        <v>17</v>
      </c>
      <c r="V962" s="16" t="s">
        <v>6929</v>
      </c>
      <c r="W962" s="16" t="s">
        <v>17</v>
      </c>
      <c r="X962" s="16" t="s">
        <v>7603</v>
      </c>
      <c r="Y962" s="16" t="s">
        <v>17</v>
      </c>
      <c r="Z962" s="16" t="s">
        <v>6926</v>
      </c>
    </row>
    <row r="963" spans="1:26" x14ac:dyDescent="0.3">
      <c r="A963" s="16">
        <v>962</v>
      </c>
      <c r="B963" s="16" t="s">
        <v>7672</v>
      </c>
      <c r="C963" s="17">
        <v>9780071849289</v>
      </c>
      <c r="D963" s="17">
        <v>9780071849289</v>
      </c>
      <c r="E963" s="16" t="s">
        <v>7673</v>
      </c>
      <c r="F963" s="16" t="s">
        <v>17</v>
      </c>
      <c r="G963" s="16" t="s">
        <v>17</v>
      </c>
      <c r="H963" s="16" t="s">
        <v>17</v>
      </c>
      <c r="I963" s="16" t="s">
        <v>17</v>
      </c>
      <c r="J963" s="16" t="s">
        <v>17</v>
      </c>
      <c r="K963" s="16" t="s">
        <v>662</v>
      </c>
      <c r="L963" s="16" t="s">
        <v>661</v>
      </c>
      <c r="M963" s="16" t="s">
        <v>7672</v>
      </c>
      <c r="N963" s="16" t="s">
        <v>17</v>
      </c>
      <c r="O963" s="16" t="s">
        <v>6921</v>
      </c>
      <c r="P963" s="16" t="s">
        <v>17</v>
      </c>
      <c r="Q963" s="16" t="s">
        <v>6922</v>
      </c>
      <c r="R963" s="16" t="s">
        <v>6923</v>
      </c>
      <c r="S963" s="16" t="s">
        <v>17</v>
      </c>
      <c r="T963" s="16" t="s">
        <v>7673</v>
      </c>
      <c r="U963" s="16" t="s">
        <v>17</v>
      </c>
      <c r="V963" s="16" t="s">
        <v>6929</v>
      </c>
      <c r="W963" s="16" t="s">
        <v>17</v>
      </c>
      <c r="X963" s="16" t="s">
        <v>7672</v>
      </c>
      <c r="Y963" s="16" t="s">
        <v>17</v>
      </c>
      <c r="Z963" s="16" t="s">
        <v>6926</v>
      </c>
    </row>
    <row r="964" spans="1:26" x14ac:dyDescent="0.3">
      <c r="A964" s="16">
        <v>963</v>
      </c>
      <c r="B964" s="16" t="s">
        <v>8440</v>
      </c>
      <c r="C964" s="17">
        <v>9780071614016</v>
      </c>
      <c r="D964" s="17">
        <v>9780071614016</v>
      </c>
      <c r="E964" s="16" t="s">
        <v>8441</v>
      </c>
      <c r="F964" s="16" t="s">
        <v>17</v>
      </c>
      <c r="G964" s="16" t="s">
        <v>17</v>
      </c>
      <c r="H964" s="16" t="s">
        <v>17</v>
      </c>
      <c r="I964" s="16" t="s">
        <v>17</v>
      </c>
      <c r="J964" s="16" t="s">
        <v>17</v>
      </c>
      <c r="K964" s="16" t="s">
        <v>1623</v>
      </c>
      <c r="L964" s="16" t="s">
        <v>1622</v>
      </c>
      <c r="M964" s="16" t="s">
        <v>8440</v>
      </c>
      <c r="N964" s="16" t="s">
        <v>17</v>
      </c>
      <c r="O964" s="16" t="s">
        <v>6921</v>
      </c>
      <c r="P964" s="16" t="s">
        <v>17</v>
      </c>
      <c r="Q964" s="16" t="s">
        <v>6922</v>
      </c>
      <c r="R964" s="16" t="s">
        <v>6923</v>
      </c>
      <c r="S964" s="16" t="s">
        <v>17</v>
      </c>
      <c r="T964" s="16" t="s">
        <v>8441</v>
      </c>
      <c r="U964" s="16" t="s">
        <v>17</v>
      </c>
      <c r="V964" s="16" t="s">
        <v>6929</v>
      </c>
      <c r="W964" s="16" t="s">
        <v>17</v>
      </c>
      <c r="X964" s="16" t="s">
        <v>8440</v>
      </c>
      <c r="Y964" s="16" t="s">
        <v>17</v>
      </c>
      <c r="Z964" s="16" t="s">
        <v>6926</v>
      </c>
    </row>
    <row r="965" spans="1:26" x14ac:dyDescent="0.3">
      <c r="A965" s="16">
        <v>964</v>
      </c>
      <c r="B965" s="16" t="s">
        <v>8155</v>
      </c>
      <c r="C965" s="17">
        <v>9781259644931</v>
      </c>
      <c r="D965" s="17">
        <v>9781259644931</v>
      </c>
      <c r="E965" s="16" t="s">
        <v>7968</v>
      </c>
      <c r="F965" s="16" t="s">
        <v>17</v>
      </c>
      <c r="G965" s="16" t="s">
        <v>17</v>
      </c>
      <c r="H965" s="16" t="s">
        <v>17</v>
      </c>
      <c r="I965" s="16" t="s">
        <v>17</v>
      </c>
      <c r="J965" s="16" t="s">
        <v>17</v>
      </c>
      <c r="K965" s="16" t="s">
        <v>1242</v>
      </c>
      <c r="L965" s="16" t="s">
        <v>1241</v>
      </c>
      <c r="M965" s="16" t="s">
        <v>8155</v>
      </c>
      <c r="N965" s="16" t="s">
        <v>17</v>
      </c>
      <c r="O965" s="16" t="s">
        <v>6921</v>
      </c>
      <c r="P965" s="16" t="s">
        <v>17</v>
      </c>
      <c r="Q965" s="16" t="s">
        <v>6922</v>
      </c>
      <c r="R965" s="16" t="s">
        <v>6923</v>
      </c>
      <c r="S965" s="16" t="s">
        <v>17</v>
      </c>
      <c r="T965" s="16" t="s">
        <v>7968</v>
      </c>
      <c r="U965" s="16" t="s">
        <v>17</v>
      </c>
      <c r="V965" s="16" t="s">
        <v>6924</v>
      </c>
      <c r="W965" s="16" t="s">
        <v>17</v>
      </c>
      <c r="X965" s="16" t="s">
        <v>8155</v>
      </c>
      <c r="Y965" s="16" t="s">
        <v>17</v>
      </c>
      <c r="Z965" s="16" t="s">
        <v>6926</v>
      </c>
    </row>
    <row r="966" spans="1:26" x14ac:dyDescent="0.3">
      <c r="A966" s="16">
        <v>965</v>
      </c>
      <c r="B966" s="16" t="s">
        <v>7355</v>
      </c>
      <c r="C966" s="17">
        <v>9780071666633</v>
      </c>
      <c r="D966" s="17">
        <v>9780071666633</v>
      </c>
      <c r="E966" s="16" t="s">
        <v>6920</v>
      </c>
      <c r="F966" s="16" t="s">
        <v>17</v>
      </c>
      <c r="G966" s="16" t="s">
        <v>17</v>
      </c>
      <c r="H966" s="16" t="s">
        <v>17</v>
      </c>
      <c r="I966" s="16" t="s">
        <v>17</v>
      </c>
      <c r="J966" s="16" t="s">
        <v>17</v>
      </c>
      <c r="K966" s="16" t="s">
        <v>373</v>
      </c>
      <c r="L966" s="16" t="s">
        <v>17</v>
      </c>
      <c r="M966" s="16" t="s">
        <v>7355</v>
      </c>
      <c r="N966" s="16" t="s">
        <v>17</v>
      </c>
      <c r="O966" s="16" t="s">
        <v>6921</v>
      </c>
      <c r="P966" s="16" t="s">
        <v>17</v>
      </c>
      <c r="Q966" s="16" t="s">
        <v>6922</v>
      </c>
      <c r="R966" s="16" t="s">
        <v>6923</v>
      </c>
      <c r="S966" s="16" t="s">
        <v>17</v>
      </c>
      <c r="T966" s="16" t="s">
        <v>6920</v>
      </c>
      <c r="U966" s="16" t="s">
        <v>17</v>
      </c>
      <c r="V966" s="16" t="s">
        <v>7072</v>
      </c>
      <c r="W966" s="16" t="s">
        <v>17</v>
      </c>
      <c r="X966" s="16" t="s">
        <v>7355</v>
      </c>
      <c r="Y966" s="16" t="s">
        <v>17</v>
      </c>
      <c r="Z966" s="16" t="s">
        <v>6926</v>
      </c>
    </row>
    <row r="967" spans="1:26" x14ac:dyDescent="0.3">
      <c r="A967" s="16">
        <v>966</v>
      </c>
      <c r="B967" s="16" t="s">
        <v>7356</v>
      </c>
      <c r="C967" s="17">
        <v>9780071614719</v>
      </c>
      <c r="D967" s="17">
        <v>9780071614719</v>
      </c>
      <c r="E967" s="16" t="s">
        <v>6920</v>
      </c>
      <c r="F967" s="16" t="s">
        <v>17</v>
      </c>
      <c r="G967" s="16" t="s">
        <v>17</v>
      </c>
      <c r="H967" s="16" t="s">
        <v>17</v>
      </c>
      <c r="I967" s="16" t="s">
        <v>17</v>
      </c>
      <c r="J967" s="16" t="s">
        <v>17</v>
      </c>
      <c r="K967" s="16" t="s">
        <v>374</v>
      </c>
      <c r="L967" s="16" t="s">
        <v>17</v>
      </c>
      <c r="M967" s="16" t="s">
        <v>7356</v>
      </c>
      <c r="N967" s="16" t="s">
        <v>17</v>
      </c>
      <c r="O967" s="16" t="s">
        <v>6921</v>
      </c>
      <c r="P967" s="16" t="s">
        <v>17</v>
      </c>
      <c r="Q967" s="16" t="s">
        <v>6922</v>
      </c>
      <c r="R967" s="16" t="s">
        <v>6923</v>
      </c>
      <c r="S967" s="16" t="s">
        <v>17</v>
      </c>
      <c r="T967" s="16" t="s">
        <v>6920</v>
      </c>
      <c r="U967" s="16" t="s">
        <v>17</v>
      </c>
      <c r="V967" s="16" t="s">
        <v>6929</v>
      </c>
      <c r="W967" s="16" t="s">
        <v>17</v>
      </c>
      <c r="X967" s="16" t="s">
        <v>7356</v>
      </c>
      <c r="Y967" s="16" t="s">
        <v>17</v>
      </c>
      <c r="Z967" s="16" t="s">
        <v>6926</v>
      </c>
    </row>
    <row r="968" spans="1:26" x14ac:dyDescent="0.3">
      <c r="A968" s="16">
        <v>967</v>
      </c>
      <c r="B968" s="16" t="s">
        <v>6946</v>
      </c>
      <c r="C968" s="17">
        <v>9780070620995</v>
      </c>
      <c r="D968" s="17">
        <v>9780070620995</v>
      </c>
      <c r="E968" s="16" t="s">
        <v>6947</v>
      </c>
      <c r="F968" s="16" t="s">
        <v>17</v>
      </c>
      <c r="G968" s="16" t="s">
        <v>17</v>
      </c>
      <c r="H968" s="16" t="s">
        <v>17</v>
      </c>
      <c r="I968" s="16" t="s">
        <v>17</v>
      </c>
      <c r="J968" s="16" t="s">
        <v>17</v>
      </c>
      <c r="K968" s="16" t="s">
        <v>35</v>
      </c>
      <c r="L968" s="16" t="s">
        <v>6948</v>
      </c>
      <c r="M968" s="16" t="s">
        <v>6946</v>
      </c>
      <c r="N968" s="16" t="s">
        <v>17</v>
      </c>
      <c r="O968" s="16" t="s">
        <v>6921</v>
      </c>
      <c r="P968" s="16" t="s">
        <v>17</v>
      </c>
      <c r="Q968" s="16" t="s">
        <v>6922</v>
      </c>
      <c r="R968" s="16" t="s">
        <v>6923</v>
      </c>
      <c r="S968" s="16" t="s">
        <v>17</v>
      </c>
      <c r="T968" s="16" t="s">
        <v>6947</v>
      </c>
      <c r="U968" s="16" t="s">
        <v>17</v>
      </c>
      <c r="V968" s="16" t="s">
        <v>6949</v>
      </c>
      <c r="W968" s="16" t="s">
        <v>17</v>
      </c>
      <c r="X968" s="16" t="s">
        <v>6946</v>
      </c>
      <c r="Y968" s="16" t="s">
        <v>17</v>
      </c>
      <c r="Z968" s="16" t="s">
        <v>6926</v>
      </c>
    </row>
    <row r="969" spans="1:26" x14ac:dyDescent="0.3">
      <c r="A969" s="16">
        <v>968</v>
      </c>
      <c r="B969" s="16" t="s">
        <v>8204</v>
      </c>
      <c r="C969" s="17">
        <v>9780071798426</v>
      </c>
      <c r="D969" s="17">
        <v>9780071798426</v>
      </c>
      <c r="E969" s="16" t="s">
        <v>6971</v>
      </c>
      <c r="F969" s="16" t="s">
        <v>17</v>
      </c>
      <c r="G969" s="16" t="s">
        <v>17</v>
      </c>
      <c r="H969" s="16" t="s">
        <v>17</v>
      </c>
      <c r="I969" s="16" t="s">
        <v>17</v>
      </c>
      <c r="J969" s="16" t="s">
        <v>17</v>
      </c>
      <c r="K969" s="16" t="s">
        <v>1281</v>
      </c>
      <c r="L969" s="16" t="s">
        <v>17</v>
      </c>
      <c r="M969" s="16" t="s">
        <v>8204</v>
      </c>
      <c r="N969" s="16" t="s">
        <v>17</v>
      </c>
      <c r="O969" s="16" t="s">
        <v>6921</v>
      </c>
      <c r="P969" s="16" t="s">
        <v>17</v>
      </c>
      <c r="Q969" s="16" t="s">
        <v>6922</v>
      </c>
      <c r="R969" s="16" t="s">
        <v>6923</v>
      </c>
      <c r="S969" s="16" t="s">
        <v>17</v>
      </c>
      <c r="T969" s="16" t="s">
        <v>6971</v>
      </c>
      <c r="U969" s="16" t="s">
        <v>17</v>
      </c>
      <c r="V969" s="16" t="s">
        <v>6924</v>
      </c>
      <c r="W969" s="16" t="s">
        <v>17</v>
      </c>
      <c r="X969" s="16" t="s">
        <v>8204</v>
      </c>
      <c r="Y969" s="16" t="s">
        <v>17</v>
      </c>
      <c r="Z969" s="16" t="s">
        <v>6926</v>
      </c>
    </row>
    <row r="970" spans="1:26" x14ac:dyDescent="0.3">
      <c r="A970" s="16">
        <v>969</v>
      </c>
      <c r="B970" s="16" t="s">
        <v>8138</v>
      </c>
      <c r="C970" s="17">
        <v>9780071819817</v>
      </c>
      <c r="D970" s="17">
        <v>9780071819817</v>
      </c>
      <c r="E970" s="16" t="s">
        <v>6939</v>
      </c>
      <c r="F970" s="16" t="s">
        <v>17</v>
      </c>
      <c r="G970" s="16" t="s">
        <v>17</v>
      </c>
      <c r="H970" s="16" t="s">
        <v>17</v>
      </c>
      <c r="I970" s="16" t="s">
        <v>17</v>
      </c>
      <c r="J970" s="16" t="s">
        <v>17</v>
      </c>
      <c r="K970" s="16" t="s">
        <v>1229</v>
      </c>
      <c r="L970" s="16" t="s">
        <v>8139</v>
      </c>
      <c r="M970" s="16" t="s">
        <v>8138</v>
      </c>
      <c r="N970" s="16" t="s">
        <v>17</v>
      </c>
      <c r="O970" s="16" t="s">
        <v>6921</v>
      </c>
      <c r="P970" s="16" t="s">
        <v>17</v>
      </c>
      <c r="Q970" s="16" t="s">
        <v>6922</v>
      </c>
      <c r="R970" s="16" t="s">
        <v>6923</v>
      </c>
      <c r="S970" s="16" t="s">
        <v>17</v>
      </c>
      <c r="T970" s="16" t="s">
        <v>6939</v>
      </c>
      <c r="U970" s="16" t="s">
        <v>17</v>
      </c>
      <c r="V970" s="16" t="s">
        <v>6949</v>
      </c>
      <c r="W970" s="16" t="s">
        <v>17</v>
      </c>
      <c r="X970" s="16" t="s">
        <v>8138</v>
      </c>
      <c r="Y970" s="16" t="s">
        <v>17</v>
      </c>
      <c r="Z970" s="16" t="s">
        <v>6926</v>
      </c>
    </row>
    <row r="971" spans="1:26" x14ac:dyDescent="0.3">
      <c r="A971" s="16">
        <v>970</v>
      </c>
      <c r="B971" s="16" t="s">
        <v>926</v>
      </c>
      <c r="C971" s="17">
        <v>9781260132274</v>
      </c>
      <c r="D971" s="17">
        <v>9781260132274</v>
      </c>
      <c r="E971" s="16" t="s">
        <v>7842</v>
      </c>
      <c r="F971" s="16" t="s">
        <v>17</v>
      </c>
      <c r="G971" s="16" t="s">
        <v>17</v>
      </c>
      <c r="H971" s="16" t="s">
        <v>17</v>
      </c>
      <c r="I971" s="16" t="s">
        <v>17</v>
      </c>
      <c r="J971" s="16" t="s">
        <v>17</v>
      </c>
      <c r="K971" s="16" t="s">
        <v>831</v>
      </c>
      <c r="L971" s="16" t="s">
        <v>7843</v>
      </c>
      <c r="M971" s="16" t="s">
        <v>926</v>
      </c>
      <c r="N971" s="16" t="s">
        <v>17</v>
      </c>
      <c r="O971" s="16" t="s">
        <v>6921</v>
      </c>
      <c r="P971" s="16" t="s">
        <v>17</v>
      </c>
      <c r="Q971" s="16" t="s">
        <v>6922</v>
      </c>
      <c r="R971" s="16" t="s">
        <v>6923</v>
      </c>
      <c r="S971" s="16" t="s">
        <v>17</v>
      </c>
      <c r="T971" s="16" t="s">
        <v>7842</v>
      </c>
      <c r="U971" s="16" t="s">
        <v>17</v>
      </c>
      <c r="V971" s="16" t="s">
        <v>6924</v>
      </c>
      <c r="W971" s="16" t="s">
        <v>17</v>
      </c>
      <c r="X971" s="16" t="s">
        <v>926</v>
      </c>
      <c r="Y971" s="16" t="s">
        <v>17</v>
      </c>
      <c r="Z971" s="16" t="s">
        <v>6926</v>
      </c>
    </row>
    <row r="972" spans="1:26" x14ac:dyDescent="0.3">
      <c r="A972" s="16">
        <v>971</v>
      </c>
      <c r="B972" s="16" t="s">
        <v>926</v>
      </c>
      <c r="C972" s="17">
        <v>9780071713849</v>
      </c>
      <c r="D972" s="17">
        <v>9780071713849</v>
      </c>
      <c r="E972" s="16" t="s">
        <v>7543</v>
      </c>
      <c r="F972" s="16" t="s">
        <v>17</v>
      </c>
      <c r="G972" s="16" t="s">
        <v>17</v>
      </c>
      <c r="H972" s="16" t="s">
        <v>17</v>
      </c>
      <c r="I972" s="16" t="s">
        <v>17</v>
      </c>
      <c r="J972" s="16" t="s">
        <v>17</v>
      </c>
      <c r="K972" s="16" t="s">
        <v>927</v>
      </c>
      <c r="L972" s="16" t="s">
        <v>7915</v>
      </c>
      <c r="M972" s="16" t="s">
        <v>926</v>
      </c>
      <c r="N972" s="16" t="s">
        <v>17</v>
      </c>
      <c r="O972" s="16" t="s">
        <v>6921</v>
      </c>
      <c r="P972" s="16" t="s">
        <v>17</v>
      </c>
      <c r="Q972" s="16" t="s">
        <v>6922</v>
      </c>
      <c r="R972" s="16" t="s">
        <v>6923</v>
      </c>
      <c r="S972" s="16" t="s">
        <v>17</v>
      </c>
      <c r="T972" s="16" t="s">
        <v>7543</v>
      </c>
      <c r="U972" s="16" t="s">
        <v>17</v>
      </c>
      <c r="V972" s="16" t="s">
        <v>7049</v>
      </c>
      <c r="W972" s="16" t="s">
        <v>17</v>
      </c>
      <c r="X972" s="16" t="s">
        <v>926</v>
      </c>
      <c r="Y972" s="16" t="s">
        <v>17</v>
      </c>
      <c r="Z972" s="16" t="s">
        <v>6926</v>
      </c>
    </row>
    <row r="973" spans="1:26" x14ac:dyDescent="0.3">
      <c r="A973" s="16">
        <v>972</v>
      </c>
      <c r="B973" s="16" t="s">
        <v>7074</v>
      </c>
      <c r="C973" s="17">
        <v>9780071342131</v>
      </c>
      <c r="D973" s="17">
        <v>9780071342131</v>
      </c>
      <c r="E973" s="16" t="s">
        <v>6920</v>
      </c>
      <c r="F973" s="16" t="s">
        <v>17</v>
      </c>
      <c r="G973" s="16" t="s">
        <v>17</v>
      </c>
      <c r="H973" s="16" t="s">
        <v>17</v>
      </c>
      <c r="I973" s="16" t="s">
        <v>17</v>
      </c>
      <c r="J973" s="16" t="s">
        <v>17</v>
      </c>
      <c r="K973" s="16" t="s">
        <v>134</v>
      </c>
      <c r="L973" s="16" t="s">
        <v>17</v>
      </c>
      <c r="M973" s="16" t="s">
        <v>7074</v>
      </c>
      <c r="N973" s="16" t="s">
        <v>17</v>
      </c>
      <c r="O973" s="16" t="s">
        <v>6921</v>
      </c>
      <c r="P973" s="16" t="s">
        <v>17</v>
      </c>
      <c r="Q973" s="16" t="s">
        <v>6922</v>
      </c>
      <c r="R973" s="16" t="s">
        <v>6923</v>
      </c>
      <c r="S973" s="16" t="s">
        <v>17</v>
      </c>
      <c r="T973" s="16" t="s">
        <v>6920</v>
      </c>
      <c r="U973" s="16" t="s">
        <v>17</v>
      </c>
      <c r="V973" s="16" t="s">
        <v>6929</v>
      </c>
      <c r="W973" s="16" t="s">
        <v>7009</v>
      </c>
      <c r="X973" s="16" t="s">
        <v>7074</v>
      </c>
      <c r="Y973" s="16" t="s">
        <v>17</v>
      </c>
      <c r="Z973" s="16" t="s">
        <v>6926</v>
      </c>
    </row>
    <row r="974" spans="1:26" x14ac:dyDescent="0.3">
      <c r="A974" s="16">
        <v>973</v>
      </c>
      <c r="B974" s="16" t="s">
        <v>7016</v>
      </c>
      <c r="C974" s="17">
        <v>9780071499187</v>
      </c>
      <c r="D974" s="17">
        <v>9780071499187</v>
      </c>
      <c r="E974" s="16" t="s">
        <v>6920</v>
      </c>
      <c r="F974" s="16" t="s">
        <v>17</v>
      </c>
      <c r="G974" s="16" t="s">
        <v>17</v>
      </c>
      <c r="H974" s="16" t="s">
        <v>17</v>
      </c>
      <c r="I974" s="16" t="s">
        <v>17</v>
      </c>
      <c r="J974" s="16" t="s">
        <v>17</v>
      </c>
      <c r="K974" s="16" t="s">
        <v>86</v>
      </c>
      <c r="L974" s="16" t="s">
        <v>17</v>
      </c>
      <c r="M974" s="16" t="s">
        <v>7016</v>
      </c>
      <c r="N974" s="16" t="s">
        <v>17</v>
      </c>
      <c r="O974" s="16" t="s">
        <v>6921</v>
      </c>
      <c r="P974" s="16" t="s">
        <v>17</v>
      </c>
      <c r="Q974" s="16" t="s">
        <v>6922</v>
      </c>
      <c r="R974" s="16" t="s">
        <v>6923</v>
      </c>
      <c r="S974" s="16" t="s">
        <v>17</v>
      </c>
      <c r="T974" s="16" t="s">
        <v>6920</v>
      </c>
      <c r="U974" s="16" t="s">
        <v>17</v>
      </c>
      <c r="V974" s="16" t="s">
        <v>6924</v>
      </c>
      <c r="W974" s="16" t="s">
        <v>84</v>
      </c>
      <c r="X974" s="16" t="s">
        <v>7016</v>
      </c>
      <c r="Y974" s="16" t="s">
        <v>17</v>
      </c>
      <c r="Z974" s="16" t="s">
        <v>6926</v>
      </c>
    </row>
    <row r="975" spans="1:26" x14ac:dyDescent="0.3">
      <c r="A975" s="16">
        <v>974</v>
      </c>
      <c r="B975" s="16" t="s">
        <v>7235</v>
      </c>
      <c r="C975" s="17">
        <v>9780071630115</v>
      </c>
      <c r="D975" s="17">
        <v>9780071630115</v>
      </c>
      <c r="E975" s="16" t="s">
        <v>6920</v>
      </c>
      <c r="F975" s="16" t="s">
        <v>17</v>
      </c>
      <c r="G975" s="16" t="s">
        <v>17</v>
      </c>
      <c r="H975" s="16" t="s">
        <v>17</v>
      </c>
      <c r="I975" s="16" t="s">
        <v>17</v>
      </c>
      <c r="J975" s="16" t="s">
        <v>17</v>
      </c>
      <c r="K975" s="16" t="s">
        <v>269</v>
      </c>
      <c r="L975" s="16" t="s">
        <v>17</v>
      </c>
      <c r="M975" s="16" t="s">
        <v>7235</v>
      </c>
      <c r="N975" s="16" t="s">
        <v>17</v>
      </c>
      <c r="O975" s="16" t="s">
        <v>6921</v>
      </c>
      <c r="P975" s="16" t="s">
        <v>17</v>
      </c>
      <c r="Q975" s="16" t="s">
        <v>6922</v>
      </c>
      <c r="R975" s="16" t="s">
        <v>6923</v>
      </c>
      <c r="S975" s="16" t="s">
        <v>17</v>
      </c>
      <c r="T975" s="16" t="s">
        <v>6920</v>
      </c>
      <c r="U975" s="16" t="s">
        <v>17</v>
      </c>
      <c r="V975" s="16" t="s">
        <v>7072</v>
      </c>
      <c r="W975" s="16" t="s">
        <v>17</v>
      </c>
      <c r="X975" s="16" t="s">
        <v>7235</v>
      </c>
      <c r="Y975" s="16" t="s">
        <v>17</v>
      </c>
      <c r="Z975" s="16" t="s">
        <v>6926</v>
      </c>
    </row>
    <row r="976" spans="1:26" x14ac:dyDescent="0.3">
      <c r="A976" s="16">
        <v>975</v>
      </c>
      <c r="B976" s="16" t="s">
        <v>7557</v>
      </c>
      <c r="C976" s="17">
        <v>9780071467605</v>
      </c>
      <c r="D976" s="17">
        <v>9780071467605</v>
      </c>
      <c r="E976" s="16" t="s">
        <v>6920</v>
      </c>
      <c r="F976" s="16" t="s">
        <v>17</v>
      </c>
      <c r="G976" s="16" t="s">
        <v>17</v>
      </c>
      <c r="H976" s="16" t="s">
        <v>17</v>
      </c>
      <c r="I976" s="16" t="s">
        <v>17</v>
      </c>
      <c r="J976" s="16" t="s">
        <v>17</v>
      </c>
      <c r="K976" s="16" t="s">
        <v>549</v>
      </c>
      <c r="L976" s="16" t="s">
        <v>7558</v>
      </c>
      <c r="M976" s="16" t="s">
        <v>7557</v>
      </c>
      <c r="N976" s="16" t="s">
        <v>17</v>
      </c>
      <c r="O976" s="16" t="s">
        <v>6921</v>
      </c>
      <c r="P976" s="16" t="s">
        <v>17</v>
      </c>
      <c r="Q976" s="16" t="s">
        <v>6922</v>
      </c>
      <c r="R976" s="16" t="s">
        <v>6923</v>
      </c>
      <c r="S976" s="16" t="s">
        <v>17</v>
      </c>
      <c r="T976" s="16" t="s">
        <v>6920</v>
      </c>
      <c r="U976" s="16" t="s">
        <v>17</v>
      </c>
      <c r="V976" s="16" t="s">
        <v>6924</v>
      </c>
      <c r="W976" s="16" t="s">
        <v>17</v>
      </c>
      <c r="X976" s="16" t="s">
        <v>7557</v>
      </c>
      <c r="Y976" s="16" t="s">
        <v>17</v>
      </c>
      <c r="Z976" s="16" t="s">
        <v>6926</v>
      </c>
    </row>
    <row r="977" spans="1:26" x14ac:dyDescent="0.3">
      <c r="A977" s="16">
        <v>976</v>
      </c>
      <c r="B977" s="16" t="s">
        <v>7660</v>
      </c>
      <c r="C977" s="17">
        <v>9780071462303</v>
      </c>
      <c r="D977" s="17">
        <v>9780071462303</v>
      </c>
      <c r="E977" s="16" t="s">
        <v>6942</v>
      </c>
      <c r="F977" s="16" t="s">
        <v>17</v>
      </c>
      <c r="G977" s="16" t="s">
        <v>17</v>
      </c>
      <c r="H977" s="16" t="s">
        <v>17</v>
      </c>
      <c r="I977" s="16" t="s">
        <v>17</v>
      </c>
      <c r="J977" s="16" t="s">
        <v>17</v>
      </c>
      <c r="K977" s="16" t="s">
        <v>651</v>
      </c>
      <c r="L977" s="16" t="s">
        <v>17</v>
      </c>
      <c r="M977" s="16" t="s">
        <v>7660</v>
      </c>
      <c r="N977" s="16" t="s">
        <v>17</v>
      </c>
      <c r="O977" s="16" t="s">
        <v>6921</v>
      </c>
      <c r="P977" s="16" t="s">
        <v>17</v>
      </c>
      <c r="Q977" s="16" t="s">
        <v>6922</v>
      </c>
      <c r="R977" s="16" t="s">
        <v>6923</v>
      </c>
      <c r="S977" s="16" t="s">
        <v>17</v>
      </c>
      <c r="T977" s="16" t="s">
        <v>6942</v>
      </c>
      <c r="U977" s="16" t="s">
        <v>17</v>
      </c>
      <c r="V977" s="16" t="s">
        <v>6929</v>
      </c>
      <c r="W977" s="16" t="s">
        <v>7661</v>
      </c>
      <c r="X977" s="16" t="s">
        <v>7660</v>
      </c>
      <c r="Y977" s="16" t="s">
        <v>17</v>
      </c>
      <c r="Z977" s="16" t="s">
        <v>6926</v>
      </c>
    </row>
    <row r="978" spans="1:26" x14ac:dyDescent="0.3">
      <c r="A978" s="16">
        <v>977</v>
      </c>
      <c r="B978" s="16" t="s">
        <v>7369</v>
      </c>
      <c r="C978" s="17">
        <v>9780071459273</v>
      </c>
      <c r="D978" s="17">
        <v>9780071459273</v>
      </c>
      <c r="E978" s="16" t="s">
        <v>6920</v>
      </c>
      <c r="F978" s="16" t="s">
        <v>17</v>
      </c>
      <c r="G978" s="16" t="s">
        <v>17</v>
      </c>
      <c r="H978" s="16" t="s">
        <v>17</v>
      </c>
      <c r="I978" s="16" t="s">
        <v>17</v>
      </c>
      <c r="J978" s="16" t="s">
        <v>17</v>
      </c>
      <c r="K978" s="16" t="s">
        <v>387</v>
      </c>
      <c r="L978" s="16" t="s">
        <v>7370</v>
      </c>
      <c r="M978" s="16" t="s">
        <v>7369</v>
      </c>
      <c r="N978" s="16" t="s">
        <v>17</v>
      </c>
      <c r="O978" s="16" t="s">
        <v>6921</v>
      </c>
      <c r="P978" s="16" t="s">
        <v>17</v>
      </c>
      <c r="Q978" s="16" t="s">
        <v>6922</v>
      </c>
      <c r="R978" s="16" t="s">
        <v>6923</v>
      </c>
      <c r="S978" s="16" t="s">
        <v>17</v>
      </c>
      <c r="T978" s="16" t="s">
        <v>6920</v>
      </c>
      <c r="U978" s="16" t="s">
        <v>17</v>
      </c>
      <c r="V978" s="16" t="s">
        <v>6929</v>
      </c>
      <c r="W978" s="16" t="s">
        <v>17</v>
      </c>
      <c r="X978" s="16" t="s">
        <v>7369</v>
      </c>
      <c r="Y978" s="16" t="s">
        <v>17</v>
      </c>
      <c r="Z978" s="16" t="s">
        <v>6926</v>
      </c>
    </row>
    <row r="979" spans="1:26" x14ac:dyDescent="0.3">
      <c r="A979" s="16">
        <v>978</v>
      </c>
      <c r="B979" s="16" t="s">
        <v>1400</v>
      </c>
      <c r="C979" s="17">
        <v>9780071425315</v>
      </c>
      <c r="D979" s="17">
        <v>9780071425315</v>
      </c>
      <c r="E979" s="16" t="s">
        <v>6920</v>
      </c>
      <c r="F979" s="16" t="s">
        <v>17</v>
      </c>
      <c r="G979" s="16" t="s">
        <v>17</v>
      </c>
      <c r="H979" s="16" t="s">
        <v>17</v>
      </c>
      <c r="I979" s="16" t="s">
        <v>17</v>
      </c>
      <c r="J979" s="16" t="s">
        <v>17</v>
      </c>
      <c r="K979" s="16" t="s">
        <v>1401</v>
      </c>
      <c r="L979" s="16" t="s">
        <v>77</v>
      </c>
      <c r="M979" s="16" t="s">
        <v>1400</v>
      </c>
      <c r="N979" s="16" t="s">
        <v>17</v>
      </c>
      <c r="O979" s="16" t="s">
        <v>6921</v>
      </c>
      <c r="P979" s="16" t="s">
        <v>17</v>
      </c>
      <c r="Q979" s="16" t="s">
        <v>6922</v>
      </c>
      <c r="R979" s="16" t="s">
        <v>6923</v>
      </c>
      <c r="S979" s="16" t="s">
        <v>17</v>
      </c>
      <c r="T979" s="16" t="s">
        <v>6920</v>
      </c>
      <c r="U979" s="16" t="s">
        <v>17</v>
      </c>
      <c r="V979" s="16" t="s">
        <v>7049</v>
      </c>
      <c r="W979" s="16" t="s">
        <v>17</v>
      </c>
      <c r="X979" s="16" t="s">
        <v>1400</v>
      </c>
      <c r="Y979" s="16" t="s">
        <v>17</v>
      </c>
      <c r="Z979" s="16" t="s">
        <v>6926</v>
      </c>
    </row>
    <row r="980" spans="1:26" x14ac:dyDescent="0.3">
      <c r="A980" s="16">
        <v>979</v>
      </c>
      <c r="B980" s="16" t="s">
        <v>7776</v>
      </c>
      <c r="C980" s="17">
        <v>9780071745727</v>
      </c>
      <c r="D980" s="17">
        <v>9780071745727</v>
      </c>
      <c r="E980" s="16" t="s">
        <v>7777</v>
      </c>
      <c r="F980" s="16" t="s">
        <v>17</v>
      </c>
      <c r="G980" s="16" t="s">
        <v>17</v>
      </c>
      <c r="H980" s="16" t="s">
        <v>17</v>
      </c>
      <c r="I980" s="16" t="s">
        <v>17</v>
      </c>
      <c r="J980" s="16" t="s">
        <v>17</v>
      </c>
      <c r="K980" s="16" t="s">
        <v>754</v>
      </c>
      <c r="L980" s="16" t="s">
        <v>17</v>
      </c>
      <c r="M980" s="16" t="s">
        <v>7776</v>
      </c>
      <c r="N980" s="16" t="s">
        <v>17</v>
      </c>
      <c r="O980" s="16" t="s">
        <v>6921</v>
      </c>
      <c r="P980" s="16" t="s">
        <v>17</v>
      </c>
      <c r="Q980" s="16" t="s">
        <v>6922</v>
      </c>
      <c r="R980" s="16" t="s">
        <v>6923</v>
      </c>
      <c r="S980" s="16" t="s">
        <v>17</v>
      </c>
      <c r="T980" s="16" t="s">
        <v>7777</v>
      </c>
      <c r="U980" s="16" t="s">
        <v>17</v>
      </c>
      <c r="V980" s="16" t="s">
        <v>6944</v>
      </c>
      <c r="W980" s="16" t="s">
        <v>17</v>
      </c>
      <c r="X980" s="16" t="s">
        <v>7776</v>
      </c>
      <c r="Y980" s="16" t="s">
        <v>17</v>
      </c>
      <c r="Z980" s="16" t="s">
        <v>6926</v>
      </c>
    </row>
    <row r="981" spans="1:26" x14ac:dyDescent="0.3">
      <c r="A981" s="16">
        <v>980</v>
      </c>
      <c r="B981" s="16" t="s">
        <v>8368</v>
      </c>
      <c r="C981" s="17">
        <v>9780071486514</v>
      </c>
      <c r="D981" s="17">
        <v>9780071486514</v>
      </c>
      <c r="E981" s="16" t="s">
        <v>6920</v>
      </c>
      <c r="F981" s="16" t="s">
        <v>17</v>
      </c>
      <c r="G981" s="16" t="s">
        <v>17</v>
      </c>
      <c r="H981" s="16" t="s">
        <v>17</v>
      </c>
      <c r="I981" s="16" t="s">
        <v>17</v>
      </c>
      <c r="J981" s="16" t="s">
        <v>17</v>
      </c>
      <c r="K981" s="16" t="s">
        <v>1502</v>
      </c>
      <c r="L981" s="16" t="s">
        <v>1501</v>
      </c>
      <c r="M981" s="16" t="s">
        <v>8368</v>
      </c>
      <c r="N981" s="16" t="s">
        <v>17</v>
      </c>
      <c r="O981" s="16" t="s">
        <v>6921</v>
      </c>
      <c r="P981" s="16" t="s">
        <v>17</v>
      </c>
      <c r="Q981" s="16" t="s">
        <v>6922</v>
      </c>
      <c r="R981" s="16" t="s">
        <v>6923</v>
      </c>
      <c r="S981" s="16" t="s">
        <v>17</v>
      </c>
      <c r="T981" s="16" t="s">
        <v>6920</v>
      </c>
      <c r="U981" s="16" t="s">
        <v>17</v>
      </c>
      <c r="V981" s="16" t="s">
        <v>6929</v>
      </c>
      <c r="W981" s="16" t="s">
        <v>17</v>
      </c>
      <c r="X981" s="16" t="s">
        <v>8368</v>
      </c>
      <c r="Y981" s="16" t="s">
        <v>17</v>
      </c>
      <c r="Z981" s="16" t="s">
        <v>6926</v>
      </c>
    </row>
    <row r="982" spans="1:26" x14ac:dyDescent="0.3">
      <c r="A982" s="16">
        <v>981</v>
      </c>
      <c r="B982" s="16" t="s">
        <v>7240</v>
      </c>
      <c r="C982" s="17">
        <v>9780070657069</v>
      </c>
      <c r="D982" s="17">
        <v>9780070657069</v>
      </c>
      <c r="E982" s="16" t="s">
        <v>7241</v>
      </c>
      <c r="F982" s="16" t="s">
        <v>17</v>
      </c>
      <c r="G982" s="16" t="s">
        <v>17</v>
      </c>
      <c r="H982" s="16" t="s">
        <v>17</v>
      </c>
      <c r="I982" s="16" t="s">
        <v>17</v>
      </c>
      <c r="J982" s="16" t="s">
        <v>17</v>
      </c>
      <c r="K982" s="16" t="s">
        <v>275</v>
      </c>
      <c r="L982" s="16" t="s">
        <v>7242</v>
      </c>
      <c r="M982" s="16" t="s">
        <v>7240</v>
      </c>
      <c r="N982" s="16" t="s">
        <v>17</v>
      </c>
      <c r="O982" s="16" t="s">
        <v>6921</v>
      </c>
      <c r="P982" s="16" t="s">
        <v>17</v>
      </c>
      <c r="Q982" s="16" t="s">
        <v>6922</v>
      </c>
      <c r="R982" s="16" t="s">
        <v>6923</v>
      </c>
      <c r="S982" s="16" t="s">
        <v>17</v>
      </c>
      <c r="T982" s="16" t="s">
        <v>7241</v>
      </c>
      <c r="U982" s="16" t="s">
        <v>17</v>
      </c>
      <c r="V982" s="16" t="s">
        <v>6924</v>
      </c>
      <c r="W982" s="16" t="s">
        <v>17</v>
      </c>
      <c r="X982" s="16" t="s">
        <v>7240</v>
      </c>
      <c r="Y982" s="16" t="s">
        <v>17</v>
      </c>
      <c r="Z982" s="16" t="s">
        <v>6926</v>
      </c>
    </row>
    <row r="983" spans="1:26" x14ac:dyDescent="0.3">
      <c r="A983" s="16">
        <v>982</v>
      </c>
      <c r="B983" s="16" t="s">
        <v>7505</v>
      </c>
      <c r="C983" s="17">
        <v>9781260461466</v>
      </c>
      <c r="D983" s="17">
        <v>9781260461466</v>
      </c>
      <c r="E983" s="16" t="s">
        <v>7506</v>
      </c>
      <c r="F983" s="16" t="s">
        <v>17</v>
      </c>
      <c r="G983" s="16" t="s">
        <v>17</v>
      </c>
      <c r="H983" s="16" t="s">
        <v>17</v>
      </c>
      <c r="I983" s="16" t="s">
        <v>17</v>
      </c>
      <c r="J983" s="16" t="s">
        <v>17</v>
      </c>
      <c r="K983" s="16" t="s">
        <v>514</v>
      </c>
      <c r="L983" s="16" t="s">
        <v>7507</v>
      </c>
      <c r="M983" s="16" t="s">
        <v>7505</v>
      </c>
      <c r="N983" s="16" t="s">
        <v>17</v>
      </c>
      <c r="O983" s="16" t="s">
        <v>6921</v>
      </c>
      <c r="P983" s="16" t="s">
        <v>17</v>
      </c>
      <c r="Q983" s="16" t="s">
        <v>6922</v>
      </c>
      <c r="R983" s="16" t="s">
        <v>6923</v>
      </c>
      <c r="S983" s="16" t="s">
        <v>17</v>
      </c>
      <c r="T983" s="16" t="s">
        <v>7506</v>
      </c>
      <c r="U983" s="16" t="s">
        <v>17</v>
      </c>
      <c r="V983" s="16" t="s">
        <v>6924</v>
      </c>
      <c r="W983" s="16" t="s">
        <v>17</v>
      </c>
      <c r="X983" s="16" t="s">
        <v>7505</v>
      </c>
      <c r="Y983" s="16" t="s">
        <v>17</v>
      </c>
      <c r="Z983" s="16" t="s">
        <v>6926</v>
      </c>
    </row>
    <row r="984" spans="1:26" x14ac:dyDescent="0.3">
      <c r="A984" s="16">
        <v>983</v>
      </c>
      <c r="B984" s="16" t="s">
        <v>8335</v>
      </c>
      <c r="C984" s="17">
        <v>9780071800716</v>
      </c>
      <c r="D984" s="17">
        <v>9780071800716</v>
      </c>
      <c r="E984" s="16" t="s">
        <v>6965</v>
      </c>
      <c r="F984" s="16" t="s">
        <v>17</v>
      </c>
      <c r="G984" s="16" t="s">
        <v>17</v>
      </c>
      <c r="H984" s="16" t="s">
        <v>17</v>
      </c>
      <c r="I984" s="16" t="s">
        <v>17</v>
      </c>
      <c r="J984" s="16" t="s">
        <v>17</v>
      </c>
      <c r="K984" s="16" t="s">
        <v>1417</v>
      </c>
      <c r="L984" s="16" t="s">
        <v>8336</v>
      </c>
      <c r="M984" s="16" t="s">
        <v>8335</v>
      </c>
      <c r="N984" s="16" t="s">
        <v>17</v>
      </c>
      <c r="O984" s="16" t="s">
        <v>6921</v>
      </c>
      <c r="P984" s="16" t="s">
        <v>17</v>
      </c>
      <c r="Q984" s="16" t="s">
        <v>6922</v>
      </c>
      <c r="R984" s="16" t="s">
        <v>6923</v>
      </c>
      <c r="S984" s="16" t="s">
        <v>17</v>
      </c>
      <c r="T984" s="16" t="s">
        <v>6965</v>
      </c>
      <c r="U984" s="16" t="s">
        <v>17</v>
      </c>
      <c r="V984" s="16" t="s">
        <v>6929</v>
      </c>
      <c r="W984" s="16" t="s">
        <v>17</v>
      </c>
      <c r="X984" s="16" t="s">
        <v>8335</v>
      </c>
      <c r="Y984" s="16" t="s">
        <v>17</v>
      </c>
      <c r="Z984" s="16" t="s">
        <v>6926</v>
      </c>
    </row>
    <row r="985" spans="1:26" x14ac:dyDescent="0.3">
      <c r="A985" s="16">
        <v>984</v>
      </c>
      <c r="B985" s="16" t="s">
        <v>8033</v>
      </c>
      <c r="C985" s="17">
        <v>9780071453417</v>
      </c>
      <c r="D985" s="17">
        <v>9780071453417</v>
      </c>
      <c r="E985" s="16" t="s">
        <v>7478</v>
      </c>
      <c r="F985" s="16" t="s">
        <v>17</v>
      </c>
      <c r="G985" s="16" t="s">
        <v>17</v>
      </c>
      <c r="H985" s="16" t="s">
        <v>17</v>
      </c>
      <c r="I985" s="16" t="s">
        <v>17</v>
      </c>
      <c r="J985" s="16" t="s">
        <v>17</v>
      </c>
      <c r="K985" s="16" t="s">
        <v>1097</v>
      </c>
      <c r="L985" s="16" t="s">
        <v>1096</v>
      </c>
      <c r="M985" s="16" t="s">
        <v>8033</v>
      </c>
      <c r="N985" s="16" t="s">
        <v>17</v>
      </c>
      <c r="O985" s="16" t="s">
        <v>6921</v>
      </c>
      <c r="P985" s="16" t="s">
        <v>17</v>
      </c>
      <c r="Q985" s="16" t="s">
        <v>6922</v>
      </c>
      <c r="R985" s="16" t="s">
        <v>6923</v>
      </c>
      <c r="S985" s="16" t="s">
        <v>17</v>
      </c>
      <c r="T985" s="16" t="s">
        <v>7478</v>
      </c>
      <c r="U985" s="16" t="s">
        <v>17</v>
      </c>
      <c r="V985" s="16" t="s">
        <v>6929</v>
      </c>
      <c r="W985" s="16" t="s">
        <v>17</v>
      </c>
      <c r="X985" s="16" t="s">
        <v>8033</v>
      </c>
      <c r="Y985" s="16" t="s">
        <v>17</v>
      </c>
      <c r="Z985" s="16" t="s">
        <v>6926</v>
      </c>
    </row>
    <row r="986" spans="1:26" x14ac:dyDescent="0.3">
      <c r="A986" s="16">
        <v>985</v>
      </c>
      <c r="B986" s="16" t="s">
        <v>7245</v>
      </c>
      <c r="C986" s="17">
        <v>9780071847780</v>
      </c>
      <c r="D986" s="17">
        <v>9780071847780</v>
      </c>
      <c r="E986" s="16" t="s">
        <v>7124</v>
      </c>
      <c r="F986" s="16" t="s">
        <v>17</v>
      </c>
      <c r="G986" s="16" t="s">
        <v>17</v>
      </c>
      <c r="H986" s="16" t="s">
        <v>17</v>
      </c>
      <c r="I986" s="16" t="s">
        <v>17</v>
      </c>
      <c r="J986" s="16" t="s">
        <v>17</v>
      </c>
      <c r="K986" s="16" t="s">
        <v>278</v>
      </c>
      <c r="L986" s="16" t="s">
        <v>277</v>
      </c>
      <c r="M986" s="16" t="s">
        <v>7245</v>
      </c>
      <c r="N986" s="16" t="s">
        <v>17</v>
      </c>
      <c r="O986" s="16" t="s">
        <v>6921</v>
      </c>
      <c r="P986" s="16" t="s">
        <v>17</v>
      </c>
      <c r="Q986" s="16" t="s">
        <v>6922</v>
      </c>
      <c r="R986" s="16" t="s">
        <v>6923</v>
      </c>
      <c r="S986" s="16" t="s">
        <v>17</v>
      </c>
      <c r="T986" s="16" t="s">
        <v>7124</v>
      </c>
      <c r="U986" s="16" t="s">
        <v>17</v>
      </c>
      <c r="V986" s="16" t="s">
        <v>6929</v>
      </c>
      <c r="W986" s="16" t="s">
        <v>17</v>
      </c>
      <c r="X986" s="16" t="s">
        <v>7245</v>
      </c>
      <c r="Y986" s="16" t="s">
        <v>17</v>
      </c>
      <c r="Z986" s="16" t="s">
        <v>6926</v>
      </c>
    </row>
    <row r="987" spans="1:26" x14ac:dyDescent="0.3">
      <c r="A987" s="16">
        <v>986</v>
      </c>
      <c r="B987" s="16" t="s">
        <v>1572</v>
      </c>
      <c r="C987" s="17">
        <v>9780071843843</v>
      </c>
      <c r="D987" s="17">
        <v>9780071843843</v>
      </c>
      <c r="E987" s="16" t="s">
        <v>6955</v>
      </c>
      <c r="F987" s="16" t="s">
        <v>17</v>
      </c>
      <c r="G987" s="16" t="s">
        <v>17</v>
      </c>
      <c r="H987" s="16" t="s">
        <v>17</v>
      </c>
      <c r="I987" s="16" t="s">
        <v>17</v>
      </c>
      <c r="J987" s="16" t="s">
        <v>17</v>
      </c>
      <c r="K987" s="16" t="s">
        <v>41</v>
      </c>
      <c r="L987" s="16" t="s">
        <v>40</v>
      </c>
      <c r="M987" s="16" t="s">
        <v>1572</v>
      </c>
      <c r="N987" s="16" t="s">
        <v>17</v>
      </c>
      <c r="O987" s="16" t="s">
        <v>6921</v>
      </c>
      <c r="P987" s="16" t="s">
        <v>17</v>
      </c>
      <c r="Q987" s="16" t="s">
        <v>6922</v>
      </c>
      <c r="R987" s="16" t="s">
        <v>6923</v>
      </c>
      <c r="S987" s="16" t="s">
        <v>17</v>
      </c>
      <c r="T987" s="16" t="s">
        <v>6955</v>
      </c>
      <c r="U987" s="16" t="s">
        <v>17</v>
      </c>
      <c r="V987" s="16" t="s">
        <v>6924</v>
      </c>
      <c r="W987" s="16" t="s">
        <v>17</v>
      </c>
      <c r="X987" s="16" t="s">
        <v>1572</v>
      </c>
      <c r="Y987" s="16" t="s">
        <v>17</v>
      </c>
      <c r="Z987" s="16" t="s">
        <v>6926</v>
      </c>
    </row>
    <row r="988" spans="1:26" x14ac:dyDescent="0.3">
      <c r="A988" s="16">
        <v>987</v>
      </c>
      <c r="B988" s="16" t="s">
        <v>1572</v>
      </c>
      <c r="C988" s="17">
        <v>9780071714778</v>
      </c>
      <c r="D988" s="17">
        <v>9780071714778</v>
      </c>
      <c r="E988" s="16" t="s">
        <v>6920</v>
      </c>
      <c r="F988" s="16" t="s">
        <v>17</v>
      </c>
      <c r="G988" s="16" t="s">
        <v>17</v>
      </c>
      <c r="H988" s="16" t="s">
        <v>17</v>
      </c>
      <c r="I988" s="16" t="s">
        <v>17</v>
      </c>
      <c r="J988" s="16" t="s">
        <v>17</v>
      </c>
      <c r="K988" s="16" t="s">
        <v>1574</v>
      </c>
      <c r="L988" s="16" t="s">
        <v>1573</v>
      </c>
      <c r="M988" s="16" t="s">
        <v>1572</v>
      </c>
      <c r="N988" s="16" t="s">
        <v>17</v>
      </c>
      <c r="O988" s="16" t="s">
        <v>6921</v>
      </c>
      <c r="P988" s="16" t="s">
        <v>17</v>
      </c>
      <c r="Q988" s="16" t="s">
        <v>6922</v>
      </c>
      <c r="R988" s="16" t="s">
        <v>6923</v>
      </c>
      <c r="S988" s="16" t="s">
        <v>17</v>
      </c>
      <c r="T988" s="16" t="s">
        <v>6920</v>
      </c>
      <c r="U988" s="16" t="s">
        <v>17</v>
      </c>
      <c r="V988" s="16" t="s">
        <v>7049</v>
      </c>
      <c r="W988" s="16" t="s">
        <v>17</v>
      </c>
      <c r="X988" s="16" t="s">
        <v>1572</v>
      </c>
      <c r="Y988" s="16" t="s">
        <v>17</v>
      </c>
      <c r="Z988" s="16" t="s">
        <v>6926</v>
      </c>
    </row>
    <row r="989" spans="1:26" x14ac:dyDescent="0.3">
      <c r="A989" s="16">
        <v>988</v>
      </c>
      <c r="B989" s="16" t="s">
        <v>1572</v>
      </c>
      <c r="C989" s="17">
        <v>9781266951244</v>
      </c>
      <c r="D989" s="17">
        <v>9781266951244</v>
      </c>
      <c r="E989" s="16" t="s">
        <v>8463</v>
      </c>
      <c r="F989" s="16" t="s">
        <v>17</v>
      </c>
      <c r="G989" s="16" t="s">
        <v>17</v>
      </c>
      <c r="H989" s="16" t="s">
        <v>17</v>
      </c>
      <c r="I989" s="16" t="s">
        <v>17</v>
      </c>
      <c r="J989" s="16" t="s">
        <v>17</v>
      </c>
      <c r="K989" s="16" t="s">
        <v>1636</v>
      </c>
      <c r="L989" s="16" t="s">
        <v>40</v>
      </c>
      <c r="M989" s="16" t="s">
        <v>1572</v>
      </c>
      <c r="N989" s="16" t="s">
        <v>17</v>
      </c>
      <c r="O989" s="16" t="s">
        <v>6921</v>
      </c>
      <c r="P989" s="16" t="s">
        <v>17</v>
      </c>
      <c r="Q989" s="16" t="s">
        <v>6922</v>
      </c>
      <c r="R989" s="16" t="s">
        <v>6923</v>
      </c>
      <c r="S989" s="16" t="s">
        <v>17</v>
      </c>
      <c r="T989" s="16" t="s">
        <v>8463</v>
      </c>
      <c r="U989" s="16" t="s">
        <v>17</v>
      </c>
      <c r="V989" s="16" t="s">
        <v>8464</v>
      </c>
      <c r="W989" s="16" t="s">
        <v>17</v>
      </c>
      <c r="X989" s="16" t="s">
        <v>1572</v>
      </c>
      <c r="Y989" s="16" t="s">
        <v>17</v>
      </c>
      <c r="Z989" s="16" t="s">
        <v>6926</v>
      </c>
    </row>
    <row r="990" spans="1:26" x14ac:dyDescent="0.3">
      <c r="A990" s="16">
        <v>989</v>
      </c>
      <c r="B990" s="16" t="s">
        <v>7645</v>
      </c>
      <c r="C990" s="17">
        <v>9781260467420</v>
      </c>
      <c r="D990" s="17">
        <v>9781260467420</v>
      </c>
      <c r="E990" s="16" t="s">
        <v>7646</v>
      </c>
      <c r="F990" s="16" t="s">
        <v>17</v>
      </c>
      <c r="G990" s="16" t="s">
        <v>17</v>
      </c>
      <c r="H990" s="16" t="s">
        <v>17</v>
      </c>
      <c r="I990" s="16" t="s">
        <v>17</v>
      </c>
      <c r="J990" s="16" t="s">
        <v>17</v>
      </c>
      <c r="K990" s="16" t="s">
        <v>637</v>
      </c>
      <c r="L990" s="16" t="s">
        <v>7647</v>
      </c>
      <c r="M990" s="16" t="s">
        <v>7645</v>
      </c>
      <c r="N990" s="16" t="s">
        <v>17</v>
      </c>
      <c r="O990" s="16" t="s">
        <v>6921</v>
      </c>
      <c r="P990" s="16" t="s">
        <v>17</v>
      </c>
      <c r="Q990" s="16" t="s">
        <v>6922</v>
      </c>
      <c r="R990" s="16" t="s">
        <v>6923</v>
      </c>
      <c r="S990" s="16" t="s">
        <v>17</v>
      </c>
      <c r="T990" s="16" t="s">
        <v>7646</v>
      </c>
      <c r="U990" s="16" t="s">
        <v>17</v>
      </c>
      <c r="V990" s="16" t="s">
        <v>6929</v>
      </c>
      <c r="W990" s="16" t="s">
        <v>17</v>
      </c>
      <c r="X990" s="16" t="s">
        <v>7645</v>
      </c>
      <c r="Y990" s="16" t="s">
        <v>17</v>
      </c>
      <c r="Z990" s="16" t="s">
        <v>6926</v>
      </c>
    </row>
    <row r="991" spans="1:26" x14ac:dyDescent="0.3">
      <c r="A991" s="16">
        <v>990</v>
      </c>
      <c r="B991" s="16" t="s">
        <v>7595</v>
      </c>
      <c r="C991" s="17">
        <v>9780071476232</v>
      </c>
      <c r="D991" s="17">
        <v>9780071476232</v>
      </c>
      <c r="E991" s="16" t="s">
        <v>6920</v>
      </c>
      <c r="F991" s="16" t="s">
        <v>17</v>
      </c>
      <c r="G991" s="16" t="s">
        <v>17</v>
      </c>
      <c r="H991" s="16" t="s">
        <v>17</v>
      </c>
      <c r="I991" s="16" t="s">
        <v>17</v>
      </c>
      <c r="J991" s="16" t="s">
        <v>17</v>
      </c>
      <c r="K991" s="16" t="s">
        <v>589</v>
      </c>
      <c r="L991" s="16" t="s">
        <v>588</v>
      </c>
      <c r="M991" s="16" t="s">
        <v>7595</v>
      </c>
      <c r="N991" s="16" t="s">
        <v>17</v>
      </c>
      <c r="O991" s="16" t="s">
        <v>6921</v>
      </c>
      <c r="P991" s="16" t="s">
        <v>17</v>
      </c>
      <c r="Q991" s="16" t="s">
        <v>6922</v>
      </c>
      <c r="R991" s="16" t="s">
        <v>6923</v>
      </c>
      <c r="S991" s="16" t="s">
        <v>17</v>
      </c>
      <c r="T991" s="16" t="s">
        <v>6920</v>
      </c>
      <c r="U991" s="16" t="s">
        <v>17</v>
      </c>
      <c r="V991" s="16" t="s">
        <v>6949</v>
      </c>
      <c r="W991" s="16" t="s">
        <v>17</v>
      </c>
      <c r="X991" s="16" t="s">
        <v>7595</v>
      </c>
      <c r="Y991" s="16" t="s">
        <v>17</v>
      </c>
      <c r="Z991" s="16" t="s">
        <v>6926</v>
      </c>
    </row>
    <row r="992" spans="1:26" x14ac:dyDescent="0.3">
      <c r="A992" s="16">
        <v>991</v>
      </c>
      <c r="B992" s="16" t="s">
        <v>7913</v>
      </c>
      <c r="C992" s="17">
        <v>9780071436861</v>
      </c>
      <c r="D992" s="17">
        <v>9780071436861</v>
      </c>
      <c r="E992" s="16" t="s">
        <v>6920</v>
      </c>
      <c r="F992" s="16" t="s">
        <v>17</v>
      </c>
      <c r="G992" s="16" t="s">
        <v>17</v>
      </c>
      <c r="H992" s="16" t="s">
        <v>17</v>
      </c>
      <c r="I992" s="16" t="s">
        <v>17</v>
      </c>
      <c r="J992" s="16" t="s">
        <v>17</v>
      </c>
      <c r="K992" s="16" t="s">
        <v>919</v>
      </c>
      <c r="L992" s="16" t="s">
        <v>908</v>
      </c>
      <c r="M992" s="16" t="s">
        <v>7913</v>
      </c>
      <c r="N992" s="16" t="s">
        <v>17</v>
      </c>
      <c r="O992" s="16" t="s">
        <v>6921</v>
      </c>
      <c r="P992" s="16" t="s">
        <v>17</v>
      </c>
      <c r="Q992" s="16" t="s">
        <v>6922</v>
      </c>
      <c r="R992" s="16" t="s">
        <v>6923</v>
      </c>
      <c r="S992" s="16" t="s">
        <v>17</v>
      </c>
      <c r="T992" s="16" t="s">
        <v>6920</v>
      </c>
      <c r="U992" s="16" t="s">
        <v>17</v>
      </c>
      <c r="V992" s="16" t="s">
        <v>7363</v>
      </c>
      <c r="W992" s="16" t="s">
        <v>17</v>
      </c>
      <c r="X992" s="16" t="s">
        <v>7913</v>
      </c>
      <c r="Y992" s="16" t="s">
        <v>17</v>
      </c>
      <c r="Z992" s="16" t="s">
        <v>6926</v>
      </c>
    </row>
    <row r="993" spans="1:26" x14ac:dyDescent="0.3">
      <c r="A993" s="16">
        <v>992</v>
      </c>
      <c r="B993" s="16" t="s">
        <v>7360</v>
      </c>
      <c r="C993" s="17">
        <v>9780071819831</v>
      </c>
      <c r="D993" s="17">
        <v>9780071819831</v>
      </c>
      <c r="E993" s="16" t="s">
        <v>6968</v>
      </c>
      <c r="F993" s="16" t="s">
        <v>17</v>
      </c>
      <c r="G993" s="16" t="s">
        <v>17</v>
      </c>
      <c r="H993" s="16" t="s">
        <v>17</v>
      </c>
      <c r="I993" s="16" t="s">
        <v>17</v>
      </c>
      <c r="J993" s="16" t="s">
        <v>17</v>
      </c>
      <c r="K993" s="16" t="s">
        <v>377</v>
      </c>
      <c r="L993" s="16" t="s">
        <v>7361</v>
      </c>
      <c r="M993" s="16" t="s">
        <v>7360</v>
      </c>
      <c r="N993" s="16" t="s">
        <v>17</v>
      </c>
      <c r="O993" s="16" t="s">
        <v>6921</v>
      </c>
      <c r="P993" s="16" t="s">
        <v>17</v>
      </c>
      <c r="Q993" s="16" t="s">
        <v>6922</v>
      </c>
      <c r="R993" s="16" t="s">
        <v>6923</v>
      </c>
      <c r="S993" s="16" t="s">
        <v>17</v>
      </c>
      <c r="T993" s="16" t="s">
        <v>6968</v>
      </c>
      <c r="U993" s="16" t="s">
        <v>17</v>
      </c>
      <c r="V993" s="16" t="s">
        <v>6949</v>
      </c>
      <c r="W993" s="16" t="s">
        <v>17</v>
      </c>
      <c r="X993" s="16" t="s">
        <v>7360</v>
      </c>
      <c r="Y993" s="16" t="s">
        <v>17</v>
      </c>
      <c r="Z993" s="16" t="s">
        <v>6926</v>
      </c>
    </row>
    <row r="994" spans="1:26" x14ac:dyDescent="0.3">
      <c r="A994" s="16">
        <v>993</v>
      </c>
      <c r="B994" s="16" t="s">
        <v>1035</v>
      </c>
      <c r="C994" s="17">
        <v>9780071380386</v>
      </c>
      <c r="D994" s="17">
        <v>9780071380386</v>
      </c>
      <c r="E994" s="16" t="s">
        <v>6920</v>
      </c>
      <c r="F994" s="16" t="s">
        <v>17</v>
      </c>
      <c r="G994" s="16" t="s">
        <v>17</v>
      </c>
      <c r="H994" s="16" t="s">
        <v>17</v>
      </c>
      <c r="I994" s="16" t="s">
        <v>17</v>
      </c>
      <c r="J994" s="16" t="s">
        <v>17</v>
      </c>
      <c r="K994" s="16" t="s">
        <v>1037</v>
      </c>
      <c r="L994" s="16" t="s">
        <v>1036</v>
      </c>
      <c r="M994" s="16" t="s">
        <v>1035</v>
      </c>
      <c r="N994" s="16" t="s">
        <v>17</v>
      </c>
      <c r="O994" s="16" t="s">
        <v>6921</v>
      </c>
      <c r="P994" s="16" t="s">
        <v>17</v>
      </c>
      <c r="Q994" s="16" t="s">
        <v>6922</v>
      </c>
      <c r="R994" s="16" t="s">
        <v>6923</v>
      </c>
      <c r="S994" s="16" t="s">
        <v>17</v>
      </c>
      <c r="T994" s="16" t="s">
        <v>6920</v>
      </c>
      <c r="U994" s="16" t="s">
        <v>17</v>
      </c>
      <c r="V994" s="16" t="s">
        <v>7049</v>
      </c>
      <c r="W994" s="16" t="s">
        <v>17</v>
      </c>
      <c r="X994" s="16" t="s">
        <v>1035</v>
      </c>
      <c r="Y994" s="16" t="s">
        <v>17</v>
      </c>
      <c r="Z994" s="16" t="s">
        <v>6926</v>
      </c>
    </row>
    <row r="995" spans="1:26" x14ac:dyDescent="0.3">
      <c r="A995" s="16">
        <v>994</v>
      </c>
      <c r="B995" s="16" t="s">
        <v>7898</v>
      </c>
      <c r="C995" s="17">
        <v>9780071352314</v>
      </c>
      <c r="D995" s="17">
        <v>9780071352314</v>
      </c>
      <c r="E995" s="16" t="s">
        <v>6920</v>
      </c>
      <c r="F995" s="16" t="s">
        <v>17</v>
      </c>
      <c r="G995" s="16" t="s">
        <v>17</v>
      </c>
      <c r="H995" s="16" t="s">
        <v>17</v>
      </c>
      <c r="I995" s="16" t="s">
        <v>17</v>
      </c>
      <c r="J995" s="16" t="s">
        <v>17</v>
      </c>
      <c r="K995" s="16" t="s">
        <v>900</v>
      </c>
      <c r="L995" s="16" t="s">
        <v>899</v>
      </c>
      <c r="M995" s="16" t="s">
        <v>7898</v>
      </c>
      <c r="N995" s="16" t="s">
        <v>17</v>
      </c>
      <c r="O995" s="16" t="s">
        <v>6921</v>
      </c>
      <c r="P995" s="16" t="s">
        <v>17</v>
      </c>
      <c r="Q995" s="16" t="s">
        <v>6922</v>
      </c>
      <c r="R995" s="16" t="s">
        <v>6923</v>
      </c>
      <c r="S995" s="16" t="s">
        <v>17</v>
      </c>
      <c r="T995" s="16" t="s">
        <v>6920</v>
      </c>
      <c r="U995" s="16" t="s">
        <v>17</v>
      </c>
      <c r="V995" s="16" t="s">
        <v>7480</v>
      </c>
      <c r="W995" s="16" t="s">
        <v>17</v>
      </c>
      <c r="X995" s="16" t="s">
        <v>7898</v>
      </c>
      <c r="Y995" s="16" t="s">
        <v>17</v>
      </c>
      <c r="Z995" s="16" t="s">
        <v>6926</v>
      </c>
    </row>
    <row r="996" spans="1:26" x14ac:dyDescent="0.3">
      <c r="A996" s="16">
        <v>995</v>
      </c>
      <c r="B996" s="16" t="s">
        <v>8324</v>
      </c>
      <c r="C996" s="17">
        <v>9780071828062</v>
      </c>
      <c r="D996" s="17">
        <v>9780071828062</v>
      </c>
      <c r="E996" s="16" t="s">
        <v>8325</v>
      </c>
      <c r="F996" s="16" t="s">
        <v>17</v>
      </c>
      <c r="G996" s="16" t="s">
        <v>17</v>
      </c>
      <c r="H996" s="16" t="s">
        <v>17</v>
      </c>
      <c r="I996" s="16" t="s">
        <v>17</v>
      </c>
      <c r="J996" s="16" t="s">
        <v>17</v>
      </c>
      <c r="K996" s="16" t="s">
        <v>1382</v>
      </c>
      <c r="L996" s="16" t="s">
        <v>7653</v>
      </c>
      <c r="M996" s="16" t="s">
        <v>8324</v>
      </c>
      <c r="N996" s="16" t="s">
        <v>17</v>
      </c>
      <c r="O996" s="16" t="s">
        <v>6921</v>
      </c>
      <c r="P996" s="16" t="s">
        <v>17</v>
      </c>
      <c r="Q996" s="16" t="s">
        <v>6922</v>
      </c>
      <c r="R996" s="16" t="s">
        <v>6923</v>
      </c>
      <c r="S996" s="16" t="s">
        <v>17</v>
      </c>
      <c r="T996" s="16" t="s">
        <v>8325</v>
      </c>
      <c r="U996" s="16" t="s">
        <v>17</v>
      </c>
      <c r="V996" s="16" t="s">
        <v>7024</v>
      </c>
      <c r="W996" s="16" t="s">
        <v>17</v>
      </c>
      <c r="X996" s="16" t="s">
        <v>8324</v>
      </c>
      <c r="Y996" s="16" t="s">
        <v>17</v>
      </c>
      <c r="Z996" s="16" t="s">
        <v>6926</v>
      </c>
    </row>
    <row r="997" spans="1:26" x14ac:dyDescent="0.3">
      <c r="A997" s="16">
        <v>996</v>
      </c>
      <c r="B997" s="16" t="s">
        <v>7362</v>
      </c>
      <c r="C997" s="17">
        <v>9780071496742</v>
      </c>
      <c r="D997" s="17">
        <v>9780071496742</v>
      </c>
      <c r="E997" s="16" t="s">
        <v>6920</v>
      </c>
      <c r="F997" s="16" t="s">
        <v>17</v>
      </c>
      <c r="G997" s="16" t="s">
        <v>17</v>
      </c>
      <c r="H997" s="16" t="s">
        <v>17</v>
      </c>
      <c r="I997" s="16" t="s">
        <v>17</v>
      </c>
      <c r="J997" s="16" t="s">
        <v>17</v>
      </c>
      <c r="K997" s="16" t="s">
        <v>379</v>
      </c>
      <c r="L997" s="16" t="s">
        <v>378</v>
      </c>
      <c r="M997" s="16" t="s">
        <v>7362</v>
      </c>
      <c r="N997" s="16" t="s">
        <v>17</v>
      </c>
      <c r="O997" s="16" t="s">
        <v>6921</v>
      </c>
      <c r="P997" s="16" t="s">
        <v>17</v>
      </c>
      <c r="Q997" s="16" t="s">
        <v>6922</v>
      </c>
      <c r="R997" s="16" t="s">
        <v>6923</v>
      </c>
      <c r="S997" s="16" t="s">
        <v>17</v>
      </c>
      <c r="T997" s="16" t="s">
        <v>6920</v>
      </c>
      <c r="U997" s="16" t="s">
        <v>17</v>
      </c>
      <c r="V997" s="16" t="s">
        <v>7363</v>
      </c>
      <c r="W997" s="16" t="s">
        <v>17</v>
      </c>
      <c r="X997" s="16" t="s">
        <v>7362</v>
      </c>
      <c r="Y997" s="16" t="s">
        <v>17</v>
      </c>
      <c r="Z997" s="16" t="s">
        <v>6926</v>
      </c>
    </row>
    <row r="998" spans="1:26" x14ac:dyDescent="0.3">
      <c r="A998" s="16">
        <v>997</v>
      </c>
      <c r="B998" s="16" t="s">
        <v>7352</v>
      </c>
      <c r="C998" s="17">
        <v>9780071842822</v>
      </c>
      <c r="D998" s="17">
        <v>9780071842822</v>
      </c>
      <c r="E998" s="16" t="s">
        <v>7353</v>
      </c>
      <c r="F998" s="16" t="s">
        <v>17</v>
      </c>
      <c r="G998" s="16" t="s">
        <v>17</v>
      </c>
      <c r="H998" s="16" t="s">
        <v>17</v>
      </c>
      <c r="I998" s="16" t="s">
        <v>17</v>
      </c>
      <c r="J998" s="16" t="s">
        <v>17</v>
      </c>
      <c r="K998" s="16" t="s">
        <v>372</v>
      </c>
      <c r="L998" s="16" t="s">
        <v>7354</v>
      </c>
      <c r="M998" s="16" t="s">
        <v>7352</v>
      </c>
      <c r="N998" s="16" t="s">
        <v>17</v>
      </c>
      <c r="O998" s="16" t="s">
        <v>6921</v>
      </c>
      <c r="P998" s="16" t="s">
        <v>17</v>
      </c>
      <c r="Q998" s="16" t="s">
        <v>6922</v>
      </c>
      <c r="R998" s="16" t="s">
        <v>6923</v>
      </c>
      <c r="S998" s="16" t="s">
        <v>17</v>
      </c>
      <c r="T998" s="16" t="s">
        <v>7353</v>
      </c>
      <c r="U998" s="16" t="s">
        <v>17</v>
      </c>
      <c r="V998" s="16" t="s">
        <v>6924</v>
      </c>
      <c r="W998" s="16" t="s">
        <v>17</v>
      </c>
      <c r="X998" s="16" t="s">
        <v>7352</v>
      </c>
      <c r="Y998" s="16" t="s">
        <v>17</v>
      </c>
      <c r="Z998" s="16" t="s">
        <v>6926</v>
      </c>
    </row>
    <row r="999" spans="1:26" x14ac:dyDescent="0.3">
      <c r="A999" s="16">
        <v>998</v>
      </c>
      <c r="B999" s="16" t="s">
        <v>7730</v>
      </c>
      <c r="C999" s="17">
        <v>9780071742320</v>
      </c>
      <c r="D999" s="17">
        <v>9780071742320</v>
      </c>
      <c r="E999" s="16" t="s">
        <v>7057</v>
      </c>
      <c r="F999" s="16" t="s">
        <v>17</v>
      </c>
      <c r="G999" s="16" t="s">
        <v>17</v>
      </c>
      <c r="H999" s="16" t="s">
        <v>17</v>
      </c>
      <c r="I999" s="16" t="s">
        <v>17</v>
      </c>
      <c r="J999" s="16" t="s">
        <v>17</v>
      </c>
      <c r="K999" s="16" t="s">
        <v>720</v>
      </c>
      <c r="L999" s="16" t="s">
        <v>7731</v>
      </c>
      <c r="M999" s="16" t="s">
        <v>7730</v>
      </c>
      <c r="N999" s="16" t="s">
        <v>17</v>
      </c>
      <c r="O999" s="16" t="s">
        <v>6921</v>
      </c>
      <c r="P999" s="16" t="s">
        <v>17</v>
      </c>
      <c r="Q999" s="16" t="s">
        <v>6922</v>
      </c>
      <c r="R999" s="16" t="s">
        <v>6923</v>
      </c>
      <c r="S999" s="16" t="s">
        <v>17</v>
      </c>
      <c r="T999" s="16" t="s">
        <v>7057</v>
      </c>
      <c r="U999" s="16" t="s">
        <v>17</v>
      </c>
      <c r="V999" s="16" t="s">
        <v>6949</v>
      </c>
      <c r="W999" s="16" t="s">
        <v>17</v>
      </c>
      <c r="X999" s="16" t="s">
        <v>7730</v>
      </c>
      <c r="Y999" s="16" t="s">
        <v>17</v>
      </c>
      <c r="Z999" s="16" t="s">
        <v>6926</v>
      </c>
    </row>
    <row r="1000" spans="1:26" x14ac:dyDescent="0.3">
      <c r="C1000" s="14"/>
      <c r="D1000" s="14"/>
    </row>
  </sheetData>
  <sortState xmlns:xlrd2="http://schemas.microsoft.com/office/spreadsheetml/2017/richdata2" ref="B2:AA999">
    <sortCondition ref="B2:B99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8DBB1-5DB4-4F64-B5ED-FC7285A93BEA}">
  <dimension ref="A1:O1431"/>
  <sheetViews>
    <sheetView workbookViewId="0">
      <selection activeCell="D1435" sqref="D1435"/>
    </sheetView>
  </sheetViews>
  <sheetFormatPr defaultRowHeight="14.4" x14ac:dyDescent="0.3"/>
  <cols>
    <col min="1" max="1" width="5.88671875" customWidth="1"/>
    <col min="2" max="2" width="7.33203125" customWidth="1"/>
    <col min="3" max="3" width="18.21875" customWidth="1"/>
    <col min="4" max="4" width="62.109375" customWidth="1"/>
    <col min="5" max="5" width="44.6640625" customWidth="1"/>
    <col min="6" max="6" width="25.21875" style="2" customWidth="1"/>
    <col min="8" max="8" width="12.5546875" customWidth="1"/>
    <col min="13" max="13" width="52" customWidth="1"/>
  </cols>
  <sheetData>
    <row r="1" spans="1:15" s="10" customFormat="1" ht="37.799999999999997" customHeight="1" x14ac:dyDescent="0.3">
      <c r="A1" s="15"/>
      <c r="B1" s="15" t="s">
        <v>0</v>
      </c>
      <c r="C1" s="15" t="s">
        <v>1</v>
      </c>
      <c r="D1" s="15" t="s">
        <v>2</v>
      </c>
      <c r="E1" s="15" t="s">
        <v>1639</v>
      </c>
      <c r="F1" s="18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9</v>
      </c>
      <c r="M1" s="15" t="s">
        <v>6413</v>
      </c>
      <c r="N1" s="15"/>
      <c r="O1" s="15" t="s">
        <v>1640</v>
      </c>
    </row>
    <row r="2" spans="1:15" x14ac:dyDescent="0.3">
      <c r="A2" s="16">
        <v>1</v>
      </c>
      <c r="B2" s="16" t="s">
        <v>1641</v>
      </c>
      <c r="C2" s="16" t="str">
        <f>"V1402329334001"</f>
        <v>V1402329334001</v>
      </c>
      <c r="D2" s="16" t="s">
        <v>1642</v>
      </c>
      <c r="E2" s="16" t="s">
        <v>1643</v>
      </c>
      <c r="F2" s="19" t="s">
        <v>1644</v>
      </c>
      <c r="G2" s="16" t="s">
        <v>1645</v>
      </c>
      <c r="H2" s="16" t="s">
        <v>13</v>
      </c>
      <c r="I2" s="16">
        <v>2011</v>
      </c>
      <c r="J2" s="16" t="s">
        <v>1646</v>
      </c>
      <c r="K2" s="16" t="s">
        <v>1647</v>
      </c>
      <c r="L2" s="16" t="s">
        <v>15</v>
      </c>
      <c r="M2" s="16" t="s">
        <v>1648</v>
      </c>
      <c r="N2" s="16"/>
      <c r="O2" s="20" t="s">
        <v>11</v>
      </c>
    </row>
    <row r="3" spans="1:15" x14ac:dyDescent="0.3">
      <c r="A3" s="16">
        <v>2</v>
      </c>
      <c r="B3" s="16" t="s">
        <v>1641</v>
      </c>
      <c r="C3" s="16" t="str">
        <f>"V1402329335001"</f>
        <v>V1402329335001</v>
      </c>
      <c r="D3" s="16" t="s">
        <v>1650</v>
      </c>
      <c r="E3" s="16" t="s">
        <v>1643</v>
      </c>
      <c r="F3" s="19" t="s">
        <v>1644</v>
      </c>
      <c r="G3" s="16" t="s">
        <v>1645</v>
      </c>
      <c r="H3" s="16" t="s">
        <v>13</v>
      </c>
      <c r="I3" s="16">
        <v>2011</v>
      </c>
      <c r="J3" s="16" t="s">
        <v>1651</v>
      </c>
      <c r="K3" s="16" t="s">
        <v>1647</v>
      </c>
      <c r="L3" s="16" t="s">
        <v>15</v>
      </c>
      <c r="M3" s="16" t="s">
        <v>1652</v>
      </c>
      <c r="N3" s="16"/>
      <c r="O3" s="16"/>
    </row>
    <row r="4" spans="1:15" x14ac:dyDescent="0.3">
      <c r="A4" s="16">
        <v>3</v>
      </c>
      <c r="B4" s="16" t="s">
        <v>1641</v>
      </c>
      <c r="C4" s="16" t="str">
        <f>"V1402329336001"</f>
        <v>V1402329336001</v>
      </c>
      <c r="D4" s="16" t="s">
        <v>1653</v>
      </c>
      <c r="E4" s="16" t="s">
        <v>1643</v>
      </c>
      <c r="F4" s="19" t="s">
        <v>1644</v>
      </c>
      <c r="G4" s="16" t="s">
        <v>1645</v>
      </c>
      <c r="H4" s="16" t="s">
        <v>13</v>
      </c>
      <c r="I4" s="16">
        <v>2011</v>
      </c>
      <c r="J4" s="16" t="s">
        <v>1654</v>
      </c>
      <c r="K4" s="16" t="s">
        <v>48</v>
      </c>
      <c r="L4" s="16" t="s">
        <v>15</v>
      </c>
      <c r="M4" s="16" t="s">
        <v>1655</v>
      </c>
      <c r="N4" s="16"/>
      <c r="O4" s="16"/>
    </row>
    <row r="5" spans="1:15" x14ac:dyDescent="0.3">
      <c r="A5" s="16">
        <v>4</v>
      </c>
      <c r="B5" s="16" t="s">
        <v>1641</v>
      </c>
      <c r="C5" s="16" t="str">
        <f>"V1402329337001"</f>
        <v>V1402329337001</v>
      </c>
      <c r="D5" s="16" t="s">
        <v>1656</v>
      </c>
      <c r="E5" s="16" t="s">
        <v>1643</v>
      </c>
      <c r="F5" s="19" t="s">
        <v>1644</v>
      </c>
      <c r="G5" s="16" t="s">
        <v>1645</v>
      </c>
      <c r="H5" s="16" t="s">
        <v>13</v>
      </c>
      <c r="I5" s="16">
        <v>2011</v>
      </c>
      <c r="J5" s="16" t="s">
        <v>1657</v>
      </c>
      <c r="K5" s="16" t="s">
        <v>1658</v>
      </c>
      <c r="L5" s="16" t="s">
        <v>15</v>
      </c>
      <c r="M5" s="16" t="s">
        <v>1659</v>
      </c>
      <c r="N5" s="16"/>
      <c r="O5" s="16"/>
    </row>
    <row r="6" spans="1:15" x14ac:dyDescent="0.3">
      <c r="A6" s="16">
        <v>5</v>
      </c>
      <c r="B6" s="16" t="s">
        <v>1641</v>
      </c>
      <c r="C6" s="16" t="str">
        <f>"V1402329338001"</f>
        <v>V1402329338001</v>
      </c>
      <c r="D6" s="16" t="s">
        <v>1660</v>
      </c>
      <c r="E6" s="16" t="s">
        <v>1643</v>
      </c>
      <c r="F6" s="19" t="s">
        <v>1644</v>
      </c>
      <c r="G6" s="16" t="s">
        <v>1645</v>
      </c>
      <c r="H6" s="16" t="s">
        <v>13</v>
      </c>
      <c r="I6" s="16">
        <v>2011</v>
      </c>
      <c r="J6" s="16" t="s">
        <v>1661</v>
      </c>
      <c r="K6" s="16" t="s">
        <v>48</v>
      </c>
      <c r="L6" s="16" t="s">
        <v>15</v>
      </c>
      <c r="M6" s="16" t="s">
        <v>1662</v>
      </c>
      <c r="N6" s="16"/>
      <c r="O6" s="16"/>
    </row>
    <row r="7" spans="1:15" x14ac:dyDescent="0.3">
      <c r="A7" s="16">
        <v>6</v>
      </c>
      <c r="B7" s="16" t="s">
        <v>1641</v>
      </c>
      <c r="C7" s="16" t="str">
        <f>"V1402329339001"</f>
        <v>V1402329339001</v>
      </c>
      <c r="D7" s="16" t="s">
        <v>1663</v>
      </c>
      <c r="E7" s="16" t="s">
        <v>1643</v>
      </c>
      <c r="F7" s="19" t="s">
        <v>1644</v>
      </c>
      <c r="G7" s="16" t="s">
        <v>1645</v>
      </c>
      <c r="H7" s="16" t="s">
        <v>13</v>
      </c>
      <c r="I7" s="16">
        <v>2011</v>
      </c>
      <c r="J7" s="16" t="s">
        <v>1664</v>
      </c>
      <c r="K7" s="16" t="s">
        <v>48</v>
      </c>
      <c r="L7" s="16" t="s">
        <v>15</v>
      </c>
      <c r="M7" s="16" t="s">
        <v>1665</v>
      </c>
      <c r="N7" s="16"/>
      <c r="O7" s="16"/>
    </row>
    <row r="8" spans="1:15" x14ac:dyDescent="0.3">
      <c r="A8" s="16">
        <v>7</v>
      </c>
      <c r="B8" s="16" t="s">
        <v>1641</v>
      </c>
      <c r="C8" s="16" t="str">
        <f>"V1402329340001"</f>
        <v>V1402329340001</v>
      </c>
      <c r="D8" s="16" t="s">
        <v>1666</v>
      </c>
      <c r="E8" s="16" t="s">
        <v>1643</v>
      </c>
      <c r="F8" s="19" t="s">
        <v>1644</v>
      </c>
      <c r="G8" s="16" t="s">
        <v>1645</v>
      </c>
      <c r="H8" s="16" t="s">
        <v>13</v>
      </c>
      <c r="I8" s="16">
        <v>2011</v>
      </c>
      <c r="J8" s="16" t="s">
        <v>1667</v>
      </c>
      <c r="K8" s="16" t="s">
        <v>1668</v>
      </c>
      <c r="L8" s="16" t="s">
        <v>15</v>
      </c>
      <c r="M8" s="16" t="s">
        <v>1669</v>
      </c>
      <c r="N8" s="16"/>
      <c r="O8" s="16"/>
    </row>
    <row r="9" spans="1:15" x14ac:dyDescent="0.3">
      <c r="A9" s="16">
        <v>8</v>
      </c>
      <c r="B9" s="16" t="s">
        <v>1641</v>
      </c>
      <c r="C9" s="16" t="str">
        <f>"V1402329341001"</f>
        <v>V1402329341001</v>
      </c>
      <c r="D9" s="16" t="s">
        <v>1670</v>
      </c>
      <c r="E9" s="16" t="s">
        <v>1643</v>
      </c>
      <c r="F9" s="19" t="s">
        <v>1644</v>
      </c>
      <c r="G9" s="16" t="s">
        <v>1645</v>
      </c>
      <c r="H9" s="16" t="s">
        <v>13</v>
      </c>
      <c r="I9" s="16">
        <v>2011</v>
      </c>
      <c r="J9" s="16" t="s">
        <v>1671</v>
      </c>
      <c r="K9" s="16" t="s">
        <v>48</v>
      </c>
      <c r="L9" s="16" t="s">
        <v>15</v>
      </c>
      <c r="M9" s="16" t="s">
        <v>1672</v>
      </c>
      <c r="N9" s="16"/>
      <c r="O9" s="16"/>
    </row>
    <row r="10" spans="1:15" x14ac:dyDescent="0.3">
      <c r="A10" s="16">
        <v>9</v>
      </c>
      <c r="B10" s="16" t="s">
        <v>1641</v>
      </c>
      <c r="C10" s="16" t="str">
        <f>"V1402345866001"</f>
        <v>V1402345866001</v>
      </c>
      <c r="D10" s="16" t="s">
        <v>1673</v>
      </c>
      <c r="E10" s="16" t="s">
        <v>1643</v>
      </c>
      <c r="F10" s="19" t="s">
        <v>1644</v>
      </c>
      <c r="G10" s="16" t="s">
        <v>1645</v>
      </c>
      <c r="H10" s="16" t="s">
        <v>13</v>
      </c>
      <c r="I10" s="16">
        <v>2011</v>
      </c>
      <c r="J10" s="16" t="s">
        <v>1674</v>
      </c>
      <c r="K10" s="16" t="s">
        <v>48</v>
      </c>
      <c r="L10" s="16" t="s">
        <v>15</v>
      </c>
      <c r="M10" s="16" t="s">
        <v>1675</v>
      </c>
      <c r="N10" s="16"/>
      <c r="O10" s="16"/>
    </row>
    <row r="11" spans="1:15" x14ac:dyDescent="0.3">
      <c r="A11" s="16">
        <v>10</v>
      </c>
      <c r="B11" s="16" t="s">
        <v>1641</v>
      </c>
      <c r="C11" s="16" t="str">
        <f>"V1402345867001"</f>
        <v>V1402345867001</v>
      </c>
      <c r="D11" s="16" t="s">
        <v>1676</v>
      </c>
      <c r="E11" s="16" t="s">
        <v>1643</v>
      </c>
      <c r="F11" s="19" t="s">
        <v>1644</v>
      </c>
      <c r="G11" s="16" t="s">
        <v>1645</v>
      </c>
      <c r="H11" s="16" t="s">
        <v>13</v>
      </c>
      <c r="I11" s="16">
        <v>2011</v>
      </c>
      <c r="J11" s="16" t="s">
        <v>1677</v>
      </c>
      <c r="K11" s="16" t="s">
        <v>48</v>
      </c>
      <c r="L11" s="16" t="s">
        <v>15</v>
      </c>
      <c r="M11" s="16" t="s">
        <v>1678</v>
      </c>
      <c r="N11" s="16"/>
      <c r="O11" s="16"/>
    </row>
    <row r="12" spans="1:15" x14ac:dyDescent="0.3">
      <c r="A12" s="16">
        <v>11</v>
      </c>
      <c r="B12" s="16" t="s">
        <v>1641</v>
      </c>
      <c r="C12" s="16" t="str">
        <f>"V1402345869001"</f>
        <v>V1402345869001</v>
      </c>
      <c r="D12" s="16" t="s">
        <v>1679</v>
      </c>
      <c r="E12" s="16" t="s">
        <v>1643</v>
      </c>
      <c r="F12" s="19" t="s">
        <v>1644</v>
      </c>
      <c r="G12" s="16" t="s">
        <v>1645</v>
      </c>
      <c r="H12" s="16" t="s">
        <v>13</v>
      </c>
      <c r="I12" s="16">
        <v>2011</v>
      </c>
      <c r="J12" s="16" t="s">
        <v>1680</v>
      </c>
      <c r="K12" s="16" t="s">
        <v>48</v>
      </c>
      <c r="L12" s="16" t="s">
        <v>15</v>
      </c>
      <c r="M12" s="16" t="s">
        <v>1681</v>
      </c>
      <c r="N12" s="16"/>
      <c r="O12" s="16"/>
    </row>
    <row r="13" spans="1:15" x14ac:dyDescent="0.3">
      <c r="A13" s="16">
        <v>12</v>
      </c>
      <c r="B13" s="16" t="s">
        <v>1641</v>
      </c>
      <c r="C13" s="16" t="str">
        <f>"V1402345870001"</f>
        <v>V1402345870001</v>
      </c>
      <c r="D13" s="16" t="s">
        <v>1682</v>
      </c>
      <c r="E13" s="16" t="s">
        <v>1643</v>
      </c>
      <c r="F13" s="19" t="s">
        <v>1644</v>
      </c>
      <c r="G13" s="16" t="s">
        <v>1645</v>
      </c>
      <c r="H13" s="16" t="s">
        <v>13</v>
      </c>
      <c r="I13" s="16">
        <v>2011</v>
      </c>
      <c r="J13" s="16" t="s">
        <v>1683</v>
      </c>
      <c r="K13" s="16" t="s">
        <v>48</v>
      </c>
      <c r="L13" s="16" t="s">
        <v>15</v>
      </c>
      <c r="M13" s="16" t="s">
        <v>1684</v>
      </c>
      <c r="N13" s="16"/>
      <c r="O13" s="16"/>
    </row>
    <row r="14" spans="1:15" x14ac:dyDescent="0.3">
      <c r="A14" s="16">
        <v>13</v>
      </c>
      <c r="B14" s="16" t="s">
        <v>1641</v>
      </c>
      <c r="C14" s="16" t="str">
        <f>"V1402349042001"</f>
        <v>V1402349042001</v>
      </c>
      <c r="D14" s="16" t="s">
        <v>1685</v>
      </c>
      <c r="E14" s="16" t="s">
        <v>1011</v>
      </c>
      <c r="F14" s="21">
        <v>9781259588501</v>
      </c>
      <c r="G14" s="16" t="s">
        <v>1686</v>
      </c>
      <c r="H14" s="16" t="s">
        <v>13</v>
      </c>
      <c r="I14" s="16">
        <v>2011</v>
      </c>
      <c r="J14" s="16" t="s">
        <v>1687</v>
      </c>
      <c r="K14" s="16" t="s">
        <v>92</v>
      </c>
      <c r="L14" s="16" t="s">
        <v>15</v>
      </c>
      <c r="M14" s="16" t="s">
        <v>1688</v>
      </c>
      <c r="N14" s="16"/>
      <c r="O14" s="16"/>
    </row>
    <row r="15" spans="1:15" x14ac:dyDescent="0.3">
      <c r="A15" s="16">
        <v>14</v>
      </c>
      <c r="B15" s="16" t="s">
        <v>1641</v>
      </c>
      <c r="C15" s="16" t="str">
        <f>"V1402349043001"</f>
        <v>V1402349043001</v>
      </c>
      <c r="D15" s="16" t="s">
        <v>1689</v>
      </c>
      <c r="E15" s="16" t="s">
        <v>1011</v>
      </c>
      <c r="F15" s="21">
        <v>9781259588501</v>
      </c>
      <c r="G15" s="16" t="s">
        <v>1686</v>
      </c>
      <c r="H15" s="16" t="s">
        <v>13</v>
      </c>
      <c r="I15" s="16">
        <v>2011</v>
      </c>
      <c r="J15" s="16" t="s">
        <v>1690</v>
      </c>
      <c r="K15" s="16" t="s">
        <v>1691</v>
      </c>
      <c r="L15" s="16" t="s">
        <v>15</v>
      </c>
      <c r="M15" s="16" t="s">
        <v>1692</v>
      </c>
      <c r="N15" s="16"/>
      <c r="O15" s="16"/>
    </row>
    <row r="16" spans="1:15" x14ac:dyDescent="0.3">
      <c r="A16" s="16">
        <v>15</v>
      </c>
      <c r="B16" s="16" t="s">
        <v>1641</v>
      </c>
      <c r="C16" s="16" t="str">
        <f>"V1402374715001"</f>
        <v>V1402374715001</v>
      </c>
      <c r="D16" s="16" t="s">
        <v>1693</v>
      </c>
      <c r="E16" s="16" t="s">
        <v>1694</v>
      </c>
      <c r="F16" s="21">
        <v>9780071428675</v>
      </c>
      <c r="G16" s="16" t="s">
        <v>1695</v>
      </c>
      <c r="H16" s="16" t="s">
        <v>13</v>
      </c>
      <c r="I16" s="16">
        <v>2011</v>
      </c>
      <c r="J16" s="16" t="s">
        <v>1696</v>
      </c>
      <c r="K16" s="16" t="s">
        <v>42</v>
      </c>
      <c r="L16" s="16" t="s">
        <v>15</v>
      </c>
      <c r="M16" s="16" t="s">
        <v>1697</v>
      </c>
      <c r="N16" s="16"/>
      <c r="O16" s="16"/>
    </row>
    <row r="17" spans="1:15" x14ac:dyDescent="0.3">
      <c r="A17" s="16">
        <v>16</v>
      </c>
      <c r="B17" s="16" t="s">
        <v>1641</v>
      </c>
      <c r="C17" s="16" t="str">
        <f>"V1402374716001"</f>
        <v>V1402374716001</v>
      </c>
      <c r="D17" s="16" t="s">
        <v>1698</v>
      </c>
      <c r="E17" s="16" t="s">
        <v>1694</v>
      </c>
      <c r="F17" s="21">
        <v>9780071428675</v>
      </c>
      <c r="G17" s="16" t="s">
        <v>1695</v>
      </c>
      <c r="H17" s="16" t="s">
        <v>13</v>
      </c>
      <c r="I17" s="16">
        <v>2011</v>
      </c>
      <c r="J17" s="16" t="s">
        <v>1699</v>
      </c>
      <c r="K17" s="16" t="s">
        <v>42</v>
      </c>
      <c r="L17" s="16" t="s">
        <v>15</v>
      </c>
      <c r="M17" s="16" t="s">
        <v>1700</v>
      </c>
      <c r="N17" s="16"/>
      <c r="O17" s="16"/>
    </row>
    <row r="18" spans="1:15" x14ac:dyDescent="0.3">
      <c r="A18" s="16">
        <v>17</v>
      </c>
      <c r="B18" s="16" t="s">
        <v>1641</v>
      </c>
      <c r="C18" s="16" t="str">
        <f>"V1402374717001"</f>
        <v>V1402374717001</v>
      </c>
      <c r="D18" s="16" t="s">
        <v>1701</v>
      </c>
      <c r="E18" s="16" t="s">
        <v>1011</v>
      </c>
      <c r="F18" s="21">
        <v>9781259588501</v>
      </c>
      <c r="G18" s="16" t="s">
        <v>1686</v>
      </c>
      <c r="H18" s="16" t="s">
        <v>13</v>
      </c>
      <c r="I18" s="16">
        <v>2011</v>
      </c>
      <c r="J18" s="16" t="s">
        <v>1702</v>
      </c>
      <c r="K18" s="16" t="s">
        <v>1703</v>
      </c>
      <c r="L18" s="16" t="s">
        <v>15</v>
      </c>
      <c r="M18" s="16" t="s">
        <v>1704</v>
      </c>
      <c r="N18" s="16"/>
      <c r="O18" s="16"/>
    </row>
    <row r="19" spans="1:15" x14ac:dyDescent="0.3">
      <c r="A19" s="16">
        <v>18</v>
      </c>
      <c r="B19" s="16" t="s">
        <v>1641</v>
      </c>
      <c r="C19" s="16" t="str">
        <f>"V1402374722001"</f>
        <v>V1402374722001</v>
      </c>
      <c r="D19" s="16" t="s">
        <v>1705</v>
      </c>
      <c r="E19" s="16" t="s">
        <v>1011</v>
      </c>
      <c r="F19" s="21">
        <v>9781259588501</v>
      </c>
      <c r="G19" s="16" t="s">
        <v>1695</v>
      </c>
      <c r="H19" s="16" t="s">
        <v>13</v>
      </c>
      <c r="I19" s="16">
        <v>2011</v>
      </c>
      <c r="J19" s="16" t="s">
        <v>1706</v>
      </c>
      <c r="K19" s="16" t="s">
        <v>1707</v>
      </c>
      <c r="L19" s="16" t="s">
        <v>15</v>
      </c>
      <c r="M19" s="16" t="s">
        <v>1708</v>
      </c>
      <c r="N19" s="16"/>
      <c r="O19" s="16"/>
    </row>
    <row r="20" spans="1:15" x14ac:dyDescent="0.3">
      <c r="A20" s="16">
        <v>19</v>
      </c>
      <c r="B20" s="16" t="s">
        <v>1641</v>
      </c>
      <c r="C20" s="16" t="str">
        <f>"V1402374723001"</f>
        <v>V1402374723001</v>
      </c>
      <c r="D20" s="16" t="s">
        <v>1709</v>
      </c>
      <c r="E20" s="16" t="s">
        <v>1694</v>
      </c>
      <c r="F20" s="21">
        <v>9780071428675</v>
      </c>
      <c r="G20" s="16" t="s">
        <v>1695</v>
      </c>
      <c r="H20" s="16" t="s">
        <v>13</v>
      </c>
      <c r="I20" s="16">
        <v>2011</v>
      </c>
      <c r="J20" s="16" t="s">
        <v>1710</v>
      </c>
      <c r="K20" s="16" t="s">
        <v>1711</v>
      </c>
      <c r="L20" s="16" t="s">
        <v>15</v>
      </c>
      <c r="M20" s="16" t="s">
        <v>1712</v>
      </c>
      <c r="N20" s="16"/>
      <c r="O20" s="16"/>
    </row>
    <row r="21" spans="1:15" x14ac:dyDescent="0.3">
      <c r="A21" s="16">
        <v>20</v>
      </c>
      <c r="B21" s="16" t="s">
        <v>1641</v>
      </c>
      <c r="C21" s="16" t="str">
        <f>"V1402374724001"</f>
        <v>V1402374724001</v>
      </c>
      <c r="D21" s="16" t="s">
        <v>1713</v>
      </c>
      <c r="E21" s="16" t="s">
        <v>1011</v>
      </c>
      <c r="F21" s="21">
        <v>9781259588501</v>
      </c>
      <c r="G21" s="16" t="s">
        <v>1714</v>
      </c>
      <c r="H21" s="16" t="s">
        <v>13</v>
      </c>
      <c r="I21" s="16">
        <v>2011</v>
      </c>
      <c r="J21" s="16" t="s">
        <v>1715</v>
      </c>
      <c r="K21" s="16" t="s">
        <v>1617</v>
      </c>
      <c r="L21" s="16" t="s">
        <v>15</v>
      </c>
      <c r="M21" s="16" t="s">
        <v>1716</v>
      </c>
      <c r="N21" s="16"/>
      <c r="O21" s="16"/>
    </row>
    <row r="22" spans="1:15" x14ac:dyDescent="0.3">
      <c r="A22" s="16">
        <v>21</v>
      </c>
      <c r="B22" s="16" t="s">
        <v>1641</v>
      </c>
      <c r="C22" s="16" t="str">
        <f>"V1402374726001"</f>
        <v>V1402374726001</v>
      </c>
      <c r="D22" s="16" t="s">
        <v>1717</v>
      </c>
      <c r="E22" s="16" t="s">
        <v>1011</v>
      </c>
      <c r="F22" s="21">
        <v>9781259588501</v>
      </c>
      <c r="G22" s="16" t="s">
        <v>1686</v>
      </c>
      <c r="H22" s="16" t="s">
        <v>13</v>
      </c>
      <c r="I22" s="16">
        <v>2011</v>
      </c>
      <c r="J22" s="16" t="s">
        <v>1718</v>
      </c>
      <c r="K22" s="16" t="s">
        <v>1719</v>
      </c>
      <c r="L22" s="16" t="s">
        <v>15</v>
      </c>
      <c r="M22" s="16" t="s">
        <v>1720</v>
      </c>
      <c r="N22" s="16"/>
      <c r="O22" s="16"/>
    </row>
    <row r="23" spans="1:15" x14ac:dyDescent="0.3">
      <c r="A23" s="16">
        <v>22</v>
      </c>
      <c r="B23" s="16" t="s">
        <v>1641</v>
      </c>
      <c r="C23" s="16" t="str">
        <f>"V1402374728001"</f>
        <v>V1402374728001</v>
      </c>
      <c r="D23" s="16" t="s">
        <v>1721</v>
      </c>
      <c r="E23" s="16" t="s">
        <v>1011</v>
      </c>
      <c r="F23" s="21">
        <v>9781259588501</v>
      </c>
      <c r="G23" s="16" t="s">
        <v>1686</v>
      </c>
      <c r="H23" s="16" t="s">
        <v>13</v>
      </c>
      <c r="I23" s="16">
        <v>2011</v>
      </c>
      <c r="J23" s="16" t="s">
        <v>1722</v>
      </c>
      <c r="K23" s="16" t="s">
        <v>1723</v>
      </c>
      <c r="L23" s="16" t="s">
        <v>15</v>
      </c>
      <c r="M23" s="16" t="s">
        <v>1724</v>
      </c>
      <c r="N23" s="16"/>
      <c r="O23" s="16"/>
    </row>
    <row r="24" spans="1:15" x14ac:dyDescent="0.3">
      <c r="A24" s="16">
        <v>23</v>
      </c>
      <c r="B24" s="16" t="s">
        <v>1641</v>
      </c>
      <c r="C24" s="16" t="str">
        <f>"V1402374734001"</f>
        <v>V1402374734001</v>
      </c>
      <c r="D24" s="16" t="s">
        <v>1725</v>
      </c>
      <c r="E24" s="16" t="s">
        <v>1694</v>
      </c>
      <c r="F24" s="21">
        <v>9780071428675</v>
      </c>
      <c r="G24" s="16" t="s">
        <v>1726</v>
      </c>
      <c r="H24" s="16" t="s">
        <v>13</v>
      </c>
      <c r="I24" s="16">
        <v>2011</v>
      </c>
      <c r="J24" s="16" t="s">
        <v>1727</v>
      </c>
      <c r="K24" s="16" t="s">
        <v>1728</v>
      </c>
      <c r="L24" s="16" t="s">
        <v>15</v>
      </c>
      <c r="M24" s="16" t="s">
        <v>1729</v>
      </c>
      <c r="N24" s="16"/>
      <c r="O24" s="16"/>
    </row>
    <row r="25" spans="1:15" x14ac:dyDescent="0.3">
      <c r="A25" s="16">
        <v>24</v>
      </c>
      <c r="B25" s="16" t="s">
        <v>1641</v>
      </c>
      <c r="C25" s="16" t="str">
        <f>"V1402374736001"</f>
        <v>V1402374736001</v>
      </c>
      <c r="D25" s="16" t="s">
        <v>1730</v>
      </c>
      <c r="E25" s="16" t="s">
        <v>1011</v>
      </c>
      <c r="F25" s="21">
        <v>9781259588501</v>
      </c>
      <c r="G25" s="16" t="s">
        <v>1686</v>
      </c>
      <c r="H25" s="16" t="s">
        <v>13</v>
      </c>
      <c r="I25" s="16">
        <v>2011</v>
      </c>
      <c r="J25" s="16" t="s">
        <v>1731</v>
      </c>
      <c r="K25" s="16" t="s">
        <v>1732</v>
      </c>
      <c r="L25" s="16" t="s">
        <v>15</v>
      </c>
      <c r="M25" s="16" t="s">
        <v>1733</v>
      </c>
      <c r="N25" s="16"/>
      <c r="O25" s="16"/>
    </row>
    <row r="26" spans="1:15" x14ac:dyDescent="0.3">
      <c r="A26" s="16">
        <v>25</v>
      </c>
      <c r="B26" s="16" t="s">
        <v>1641</v>
      </c>
      <c r="C26" s="16" t="str">
        <f>"V1402374740001"</f>
        <v>V1402374740001</v>
      </c>
      <c r="D26" s="16" t="s">
        <v>1734</v>
      </c>
      <c r="E26" s="16" t="s">
        <v>1011</v>
      </c>
      <c r="F26" s="21">
        <v>9781259588501</v>
      </c>
      <c r="G26" s="16" t="s">
        <v>1686</v>
      </c>
      <c r="H26" s="16" t="s">
        <v>13</v>
      </c>
      <c r="I26" s="16">
        <v>2011</v>
      </c>
      <c r="J26" s="16" t="s">
        <v>1735</v>
      </c>
      <c r="K26" s="16" t="s">
        <v>1736</v>
      </c>
      <c r="L26" s="16" t="s">
        <v>15</v>
      </c>
      <c r="M26" s="16" t="s">
        <v>1737</v>
      </c>
      <c r="N26" s="16"/>
      <c r="O26" s="16"/>
    </row>
    <row r="27" spans="1:15" x14ac:dyDescent="0.3">
      <c r="A27" s="16">
        <v>26</v>
      </c>
      <c r="B27" s="16" t="s">
        <v>1641</v>
      </c>
      <c r="C27" s="16" t="str">
        <f>"V1402374741001"</f>
        <v>V1402374741001</v>
      </c>
      <c r="D27" s="16" t="s">
        <v>1738</v>
      </c>
      <c r="E27" s="16" t="s">
        <v>1011</v>
      </c>
      <c r="F27" s="21">
        <v>9781259588501</v>
      </c>
      <c r="G27" s="16" t="s">
        <v>1686</v>
      </c>
      <c r="H27" s="16" t="s">
        <v>13</v>
      </c>
      <c r="I27" s="16">
        <v>2011</v>
      </c>
      <c r="J27" s="16" t="s">
        <v>1739</v>
      </c>
      <c r="K27" s="16" t="s">
        <v>508</v>
      </c>
      <c r="L27" s="16" t="s">
        <v>15</v>
      </c>
      <c r="M27" s="16" t="s">
        <v>1740</v>
      </c>
      <c r="N27" s="16"/>
      <c r="O27" s="16"/>
    </row>
    <row r="28" spans="1:15" x14ac:dyDescent="0.3">
      <c r="A28" s="16">
        <v>27</v>
      </c>
      <c r="B28" s="16" t="s">
        <v>1641</v>
      </c>
      <c r="C28" s="16" t="str">
        <f>"V1402374743001"</f>
        <v>V1402374743001</v>
      </c>
      <c r="D28" s="16" t="s">
        <v>1741</v>
      </c>
      <c r="E28" s="16" t="s">
        <v>1011</v>
      </c>
      <c r="F28" s="21">
        <v>9781259588501</v>
      </c>
      <c r="G28" s="16" t="s">
        <v>1686</v>
      </c>
      <c r="H28" s="16" t="s">
        <v>13</v>
      </c>
      <c r="I28" s="16">
        <v>2011</v>
      </c>
      <c r="J28" s="16" t="s">
        <v>1742</v>
      </c>
      <c r="K28" s="16" t="s">
        <v>1743</v>
      </c>
      <c r="L28" s="16" t="s">
        <v>15</v>
      </c>
      <c r="M28" s="16" t="s">
        <v>1744</v>
      </c>
      <c r="N28" s="16"/>
      <c r="O28" s="16"/>
    </row>
    <row r="29" spans="1:15" x14ac:dyDescent="0.3">
      <c r="A29" s="16">
        <v>28</v>
      </c>
      <c r="B29" s="16" t="s">
        <v>1641</v>
      </c>
      <c r="C29" s="16" t="str">
        <f>"V1402374747001"</f>
        <v>V1402374747001</v>
      </c>
      <c r="D29" s="16" t="s">
        <v>1745</v>
      </c>
      <c r="E29" s="16" t="s">
        <v>1011</v>
      </c>
      <c r="F29" s="21">
        <v>9781259588501</v>
      </c>
      <c r="G29" s="16" t="s">
        <v>1686</v>
      </c>
      <c r="H29" s="16" t="s">
        <v>13</v>
      </c>
      <c r="I29" s="16">
        <v>2011</v>
      </c>
      <c r="J29" s="16" t="s">
        <v>1746</v>
      </c>
      <c r="K29" s="16" t="s">
        <v>680</v>
      </c>
      <c r="L29" s="16" t="s">
        <v>15</v>
      </c>
      <c r="M29" s="16" t="s">
        <v>1747</v>
      </c>
      <c r="N29" s="16"/>
      <c r="O29" s="16"/>
    </row>
    <row r="30" spans="1:15" x14ac:dyDescent="0.3">
      <c r="A30" s="16">
        <v>29</v>
      </c>
      <c r="B30" s="16" t="s">
        <v>1641</v>
      </c>
      <c r="C30" s="16" t="str">
        <f>"V1402374748001"</f>
        <v>V1402374748001</v>
      </c>
      <c r="D30" s="16" t="s">
        <v>1748</v>
      </c>
      <c r="E30" s="16" t="s">
        <v>1011</v>
      </c>
      <c r="F30" s="21">
        <v>9781259588501</v>
      </c>
      <c r="G30" s="16" t="s">
        <v>1686</v>
      </c>
      <c r="H30" s="16" t="s">
        <v>13</v>
      </c>
      <c r="I30" s="16">
        <v>2011</v>
      </c>
      <c r="J30" s="16" t="s">
        <v>1749</v>
      </c>
      <c r="K30" s="16" t="s">
        <v>540</v>
      </c>
      <c r="L30" s="16" t="s">
        <v>15</v>
      </c>
      <c r="M30" s="16" t="s">
        <v>1750</v>
      </c>
      <c r="N30" s="16"/>
      <c r="O30" s="16"/>
    </row>
    <row r="31" spans="1:15" x14ac:dyDescent="0.3">
      <c r="A31" s="16">
        <v>30</v>
      </c>
      <c r="B31" s="16" t="s">
        <v>1641</v>
      </c>
      <c r="C31" s="16" t="str">
        <f>"V1402374750001"</f>
        <v>V1402374750001</v>
      </c>
      <c r="D31" s="16" t="s">
        <v>1751</v>
      </c>
      <c r="E31" s="16" t="s">
        <v>1011</v>
      </c>
      <c r="F31" s="21">
        <v>9781259588501</v>
      </c>
      <c r="G31" s="16" t="s">
        <v>1686</v>
      </c>
      <c r="H31" s="16" t="s">
        <v>13</v>
      </c>
      <c r="I31" s="16">
        <v>2011</v>
      </c>
      <c r="J31" s="16" t="s">
        <v>1752</v>
      </c>
      <c r="K31" s="16" t="s">
        <v>1753</v>
      </c>
      <c r="L31" s="16" t="s">
        <v>15</v>
      </c>
      <c r="M31" s="16" t="s">
        <v>1754</v>
      </c>
      <c r="N31" s="16"/>
      <c r="O31" s="16"/>
    </row>
    <row r="32" spans="1:15" x14ac:dyDescent="0.3">
      <c r="A32" s="16">
        <v>31</v>
      </c>
      <c r="B32" s="16" t="s">
        <v>1641</v>
      </c>
      <c r="C32" s="16" t="str">
        <f>"V1402381061001"</f>
        <v>V1402381061001</v>
      </c>
      <c r="D32" s="16" t="s">
        <v>1755</v>
      </c>
      <c r="E32" s="16" t="s">
        <v>1011</v>
      </c>
      <c r="F32" s="21">
        <v>9781259588501</v>
      </c>
      <c r="G32" s="16" t="s">
        <v>1714</v>
      </c>
      <c r="H32" s="16" t="s">
        <v>13</v>
      </c>
      <c r="I32" s="16">
        <v>2011</v>
      </c>
      <c r="J32" s="16" t="s">
        <v>1756</v>
      </c>
      <c r="K32" s="16" t="s">
        <v>1617</v>
      </c>
      <c r="L32" s="16" t="s">
        <v>15</v>
      </c>
      <c r="M32" s="16" t="s">
        <v>1757</v>
      </c>
      <c r="N32" s="16"/>
      <c r="O32" s="16"/>
    </row>
    <row r="33" spans="1:15" x14ac:dyDescent="0.3">
      <c r="A33" s="16">
        <v>32</v>
      </c>
      <c r="B33" s="16" t="s">
        <v>1641</v>
      </c>
      <c r="C33" s="16" t="str">
        <f>"V1402381063001"</f>
        <v>V1402381063001</v>
      </c>
      <c r="D33" s="16" t="s">
        <v>1758</v>
      </c>
      <c r="E33" s="16" t="s">
        <v>1011</v>
      </c>
      <c r="F33" s="21">
        <v>9781259588501</v>
      </c>
      <c r="G33" s="16" t="s">
        <v>1726</v>
      </c>
      <c r="H33" s="16" t="s">
        <v>13</v>
      </c>
      <c r="I33" s="16">
        <v>2011</v>
      </c>
      <c r="J33" s="16" t="s">
        <v>1759</v>
      </c>
      <c r="K33" s="16" t="s">
        <v>1760</v>
      </c>
      <c r="L33" s="16" t="s">
        <v>15</v>
      </c>
      <c r="M33" s="16" t="s">
        <v>1761</v>
      </c>
      <c r="N33" s="16"/>
      <c r="O33" s="16"/>
    </row>
    <row r="34" spans="1:15" x14ac:dyDescent="0.3">
      <c r="A34" s="16">
        <v>33</v>
      </c>
      <c r="B34" s="16" t="s">
        <v>1641</v>
      </c>
      <c r="C34" s="16" t="str">
        <f>"V1402381064001"</f>
        <v>V1402381064001</v>
      </c>
      <c r="D34" s="16" t="s">
        <v>1762</v>
      </c>
      <c r="E34" s="16" t="s">
        <v>1694</v>
      </c>
      <c r="F34" s="21">
        <v>9780071428675</v>
      </c>
      <c r="G34" s="16" t="s">
        <v>1695</v>
      </c>
      <c r="H34" s="16" t="s">
        <v>13</v>
      </c>
      <c r="I34" s="16">
        <v>2011</v>
      </c>
      <c r="J34" s="16" t="s">
        <v>1763</v>
      </c>
      <c r="K34" s="16" t="s">
        <v>1764</v>
      </c>
      <c r="L34" s="16" t="s">
        <v>15</v>
      </c>
      <c r="M34" s="16" t="s">
        <v>1765</v>
      </c>
      <c r="N34" s="16"/>
      <c r="O34" s="16"/>
    </row>
    <row r="35" spans="1:15" x14ac:dyDescent="0.3">
      <c r="A35" s="16">
        <v>34</v>
      </c>
      <c r="B35" s="16" t="s">
        <v>1641</v>
      </c>
      <c r="C35" s="16" t="str">
        <f>"V1402381068001"</f>
        <v>V1402381068001</v>
      </c>
      <c r="D35" s="16" t="s">
        <v>1766</v>
      </c>
      <c r="E35" s="16" t="s">
        <v>1011</v>
      </c>
      <c r="F35" s="21">
        <v>9781259588501</v>
      </c>
      <c r="G35" s="16" t="s">
        <v>1726</v>
      </c>
      <c r="H35" s="16" t="s">
        <v>13</v>
      </c>
      <c r="I35" s="16">
        <v>2011</v>
      </c>
      <c r="J35" s="16" t="s">
        <v>1767</v>
      </c>
      <c r="K35" s="16" t="s">
        <v>1768</v>
      </c>
      <c r="L35" s="16" t="s">
        <v>15</v>
      </c>
      <c r="M35" s="16" t="s">
        <v>1769</v>
      </c>
      <c r="N35" s="16"/>
      <c r="O35" s="16"/>
    </row>
    <row r="36" spans="1:15" x14ac:dyDescent="0.3">
      <c r="A36" s="16">
        <v>35</v>
      </c>
      <c r="B36" s="16" t="s">
        <v>1641</v>
      </c>
      <c r="C36" s="16" t="str">
        <f>"V1402381077001"</f>
        <v>V1402381077001</v>
      </c>
      <c r="D36" s="16" t="s">
        <v>1770</v>
      </c>
      <c r="E36" s="16" t="s">
        <v>1011</v>
      </c>
      <c r="F36" s="21">
        <v>9781259588501</v>
      </c>
      <c r="G36" s="16" t="s">
        <v>1686</v>
      </c>
      <c r="H36" s="16" t="s">
        <v>13</v>
      </c>
      <c r="I36" s="16">
        <v>2011</v>
      </c>
      <c r="J36" s="16" t="s">
        <v>1771</v>
      </c>
      <c r="K36" s="16" t="s">
        <v>680</v>
      </c>
      <c r="L36" s="16" t="s">
        <v>15</v>
      </c>
      <c r="M36" s="16" t="s">
        <v>1772</v>
      </c>
      <c r="N36" s="16"/>
      <c r="O36" s="16"/>
    </row>
    <row r="37" spans="1:15" x14ac:dyDescent="0.3">
      <c r="A37" s="16">
        <v>36</v>
      </c>
      <c r="B37" s="16" t="s">
        <v>1641</v>
      </c>
      <c r="C37" s="16" t="str">
        <f>"V1402381079001"</f>
        <v>V1402381079001</v>
      </c>
      <c r="D37" s="16" t="s">
        <v>1773</v>
      </c>
      <c r="E37" s="16" t="s">
        <v>1011</v>
      </c>
      <c r="F37" s="21">
        <v>9781259588501</v>
      </c>
      <c r="G37" s="16" t="s">
        <v>1686</v>
      </c>
      <c r="H37" s="16" t="s">
        <v>13</v>
      </c>
      <c r="I37" s="16">
        <v>2011</v>
      </c>
      <c r="J37" s="16" t="s">
        <v>1774</v>
      </c>
      <c r="K37" s="16" t="s">
        <v>680</v>
      </c>
      <c r="L37" s="16" t="s">
        <v>15</v>
      </c>
      <c r="M37" s="16" t="s">
        <v>1775</v>
      </c>
      <c r="N37" s="16"/>
      <c r="O37" s="16"/>
    </row>
    <row r="38" spans="1:15" x14ac:dyDescent="0.3">
      <c r="A38" s="16">
        <v>37</v>
      </c>
      <c r="B38" s="16" t="s">
        <v>1641</v>
      </c>
      <c r="C38" s="16" t="str">
        <f>"V1402381082001"</f>
        <v>V1402381082001</v>
      </c>
      <c r="D38" s="16" t="s">
        <v>1776</v>
      </c>
      <c r="E38" s="16" t="s">
        <v>1011</v>
      </c>
      <c r="F38" s="21">
        <v>9781259588501</v>
      </c>
      <c r="G38" s="16" t="s">
        <v>1686</v>
      </c>
      <c r="H38" s="16" t="s">
        <v>13</v>
      </c>
      <c r="I38" s="16">
        <v>2011</v>
      </c>
      <c r="J38" s="16" t="s">
        <v>1777</v>
      </c>
      <c r="K38" s="16" t="s">
        <v>1778</v>
      </c>
      <c r="L38" s="16" t="s">
        <v>15</v>
      </c>
      <c r="M38" s="16" t="s">
        <v>1779</v>
      </c>
      <c r="N38" s="16"/>
      <c r="O38" s="16"/>
    </row>
    <row r="39" spans="1:15" x14ac:dyDescent="0.3">
      <c r="A39" s="16">
        <v>38</v>
      </c>
      <c r="B39" s="16" t="s">
        <v>1641</v>
      </c>
      <c r="C39" s="16" t="str">
        <f>"V1402381084001"</f>
        <v>V1402381084001</v>
      </c>
      <c r="D39" s="16" t="s">
        <v>1780</v>
      </c>
      <c r="E39" s="16" t="s">
        <v>1694</v>
      </c>
      <c r="F39" s="21">
        <v>9780071428675</v>
      </c>
      <c r="G39" s="16" t="s">
        <v>1695</v>
      </c>
      <c r="H39" s="16" t="s">
        <v>13</v>
      </c>
      <c r="I39" s="16">
        <v>2011</v>
      </c>
      <c r="J39" s="16" t="s">
        <v>1781</v>
      </c>
      <c r="K39" s="16" t="s">
        <v>1782</v>
      </c>
      <c r="L39" s="16" t="s">
        <v>15</v>
      </c>
      <c r="M39" s="16" t="s">
        <v>1783</v>
      </c>
      <c r="N39" s="16"/>
      <c r="O39" s="16"/>
    </row>
    <row r="40" spans="1:15" x14ac:dyDescent="0.3">
      <c r="A40" s="16">
        <v>39</v>
      </c>
      <c r="B40" s="16" t="s">
        <v>1641</v>
      </c>
      <c r="C40" s="16" t="str">
        <f>"V1402381085001"</f>
        <v>V1402381085001</v>
      </c>
      <c r="D40" s="16" t="s">
        <v>1784</v>
      </c>
      <c r="E40" s="16" t="s">
        <v>1011</v>
      </c>
      <c r="F40" s="21">
        <v>9781259588501</v>
      </c>
      <c r="G40" s="16" t="s">
        <v>1714</v>
      </c>
      <c r="H40" s="16" t="s">
        <v>13</v>
      </c>
      <c r="I40" s="16">
        <v>2011</v>
      </c>
      <c r="J40" s="16" t="s">
        <v>1785</v>
      </c>
      <c r="K40" s="16" t="s">
        <v>1786</v>
      </c>
      <c r="L40" s="16" t="s">
        <v>15</v>
      </c>
      <c r="M40" s="16" t="s">
        <v>1787</v>
      </c>
      <c r="N40" s="16"/>
      <c r="O40" s="16"/>
    </row>
    <row r="41" spans="1:15" x14ac:dyDescent="0.3">
      <c r="A41" s="16">
        <v>40</v>
      </c>
      <c r="B41" s="16" t="s">
        <v>1641</v>
      </c>
      <c r="C41" s="16" t="str">
        <f>"V1402382273001"</f>
        <v>V1402382273001</v>
      </c>
      <c r="D41" s="16" t="s">
        <v>1788</v>
      </c>
      <c r="E41" s="16" t="s">
        <v>1011</v>
      </c>
      <c r="F41" s="21">
        <v>9781259588501</v>
      </c>
      <c r="G41" s="16" t="s">
        <v>1695</v>
      </c>
      <c r="H41" s="16" t="s">
        <v>13</v>
      </c>
      <c r="I41" s="16">
        <v>2011</v>
      </c>
      <c r="J41" s="16" t="s">
        <v>1789</v>
      </c>
      <c r="K41" s="16" t="s">
        <v>1790</v>
      </c>
      <c r="L41" s="16" t="s">
        <v>15</v>
      </c>
      <c r="M41" s="16" t="s">
        <v>1791</v>
      </c>
      <c r="N41" s="16"/>
      <c r="O41" s="16"/>
    </row>
    <row r="42" spans="1:15" x14ac:dyDescent="0.3">
      <c r="A42" s="16">
        <v>41</v>
      </c>
      <c r="B42" s="16" t="s">
        <v>1641</v>
      </c>
      <c r="C42" s="16" t="str">
        <f>"V1402382276001"</f>
        <v>V1402382276001</v>
      </c>
      <c r="D42" s="16" t="s">
        <v>1792</v>
      </c>
      <c r="E42" s="16" t="s">
        <v>1694</v>
      </c>
      <c r="F42" s="21">
        <v>9780071428675</v>
      </c>
      <c r="G42" s="16" t="s">
        <v>1695</v>
      </c>
      <c r="H42" s="16" t="s">
        <v>13</v>
      </c>
      <c r="I42" s="16">
        <v>2011</v>
      </c>
      <c r="J42" s="16" t="s">
        <v>1793</v>
      </c>
      <c r="K42" s="16" t="s">
        <v>1794</v>
      </c>
      <c r="L42" s="16" t="s">
        <v>15</v>
      </c>
      <c r="M42" s="16" t="s">
        <v>1795</v>
      </c>
      <c r="N42" s="16"/>
      <c r="O42" s="16"/>
    </row>
    <row r="43" spans="1:15" x14ac:dyDescent="0.3">
      <c r="A43" s="16">
        <v>42</v>
      </c>
      <c r="B43" s="16" t="s">
        <v>1641</v>
      </c>
      <c r="C43" s="16" t="str">
        <f>"V1402382278001"</f>
        <v>V1402382278001</v>
      </c>
      <c r="D43" s="16" t="s">
        <v>1796</v>
      </c>
      <c r="E43" s="16" t="s">
        <v>1011</v>
      </c>
      <c r="F43" s="21">
        <v>9781259588501</v>
      </c>
      <c r="G43" s="16" t="s">
        <v>1686</v>
      </c>
      <c r="H43" s="16" t="s">
        <v>13</v>
      </c>
      <c r="I43" s="16">
        <v>2011</v>
      </c>
      <c r="J43" s="16" t="s">
        <v>1797</v>
      </c>
      <c r="K43" s="16" t="s">
        <v>1753</v>
      </c>
      <c r="L43" s="16" t="s">
        <v>15</v>
      </c>
      <c r="M43" s="16" t="s">
        <v>1798</v>
      </c>
      <c r="N43" s="16"/>
      <c r="O43" s="16"/>
    </row>
    <row r="44" spans="1:15" x14ac:dyDescent="0.3">
      <c r="A44" s="16">
        <v>43</v>
      </c>
      <c r="B44" s="16" t="s">
        <v>1641</v>
      </c>
      <c r="C44" s="16" t="str">
        <f>"V1402382283001"</f>
        <v>V1402382283001</v>
      </c>
      <c r="D44" s="16" t="s">
        <v>1799</v>
      </c>
      <c r="E44" s="16" t="s">
        <v>1011</v>
      </c>
      <c r="F44" s="21">
        <v>9781259588501</v>
      </c>
      <c r="G44" s="16" t="s">
        <v>1686</v>
      </c>
      <c r="H44" s="16" t="s">
        <v>13</v>
      </c>
      <c r="I44" s="16">
        <v>2011</v>
      </c>
      <c r="J44" s="16" t="s">
        <v>1800</v>
      </c>
      <c r="K44" s="16" t="s">
        <v>1801</v>
      </c>
      <c r="L44" s="16" t="s">
        <v>15</v>
      </c>
      <c r="M44" s="16" t="s">
        <v>1802</v>
      </c>
      <c r="N44" s="16"/>
      <c r="O44" s="16"/>
    </row>
    <row r="45" spans="1:15" x14ac:dyDescent="0.3">
      <c r="A45" s="16">
        <v>44</v>
      </c>
      <c r="B45" s="16" t="s">
        <v>1641</v>
      </c>
      <c r="C45" s="16" t="str">
        <f>"V1402382285001"</f>
        <v>V1402382285001</v>
      </c>
      <c r="D45" s="16" t="s">
        <v>1803</v>
      </c>
      <c r="E45" s="16" t="s">
        <v>1011</v>
      </c>
      <c r="F45" s="21">
        <v>9781259588501</v>
      </c>
      <c r="G45" s="16" t="s">
        <v>1686</v>
      </c>
      <c r="H45" s="16" t="s">
        <v>13</v>
      </c>
      <c r="I45" s="16">
        <v>2011</v>
      </c>
      <c r="J45" s="16" t="s">
        <v>1804</v>
      </c>
      <c r="K45" s="16" t="s">
        <v>1805</v>
      </c>
      <c r="L45" s="16" t="s">
        <v>15</v>
      </c>
      <c r="M45" s="16" t="s">
        <v>1806</v>
      </c>
      <c r="N45" s="16"/>
      <c r="O45" s="16"/>
    </row>
    <row r="46" spans="1:15" x14ac:dyDescent="0.3">
      <c r="A46" s="16">
        <v>45</v>
      </c>
      <c r="B46" s="16" t="s">
        <v>1641</v>
      </c>
      <c r="C46" s="16" t="str">
        <f>"V1441266362001"</f>
        <v>V1441266362001</v>
      </c>
      <c r="D46" s="16" t="s">
        <v>1807</v>
      </c>
      <c r="E46" s="16" t="s">
        <v>884</v>
      </c>
      <c r="F46" s="21">
        <v>9780071834087</v>
      </c>
      <c r="G46" s="16" t="s">
        <v>1808</v>
      </c>
      <c r="H46" s="16" t="s">
        <v>13</v>
      </c>
      <c r="I46" s="16">
        <v>2011</v>
      </c>
      <c r="J46" s="16" t="s">
        <v>1809</v>
      </c>
      <c r="K46" s="16" t="s">
        <v>1810</v>
      </c>
      <c r="L46" s="16" t="s">
        <v>15</v>
      </c>
      <c r="M46" s="16" t="s">
        <v>1811</v>
      </c>
      <c r="N46" s="16"/>
      <c r="O46" s="16"/>
    </row>
    <row r="47" spans="1:15" x14ac:dyDescent="0.3">
      <c r="A47" s="16">
        <v>46</v>
      </c>
      <c r="B47" s="16" t="s">
        <v>1641</v>
      </c>
      <c r="C47" s="16" t="str">
        <f>"V1441275932001"</f>
        <v>V1441275932001</v>
      </c>
      <c r="D47" s="16" t="s">
        <v>1812</v>
      </c>
      <c r="E47" s="16" t="s">
        <v>884</v>
      </c>
      <c r="F47" s="21">
        <v>9780071834087</v>
      </c>
      <c r="G47" s="16" t="s">
        <v>1808</v>
      </c>
      <c r="H47" s="16" t="s">
        <v>13</v>
      </c>
      <c r="I47" s="16">
        <v>2012</v>
      </c>
      <c r="J47" s="16" t="s">
        <v>1813</v>
      </c>
      <c r="K47" s="16" t="s">
        <v>1814</v>
      </c>
      <c r="L47" s="16" t="s">
        <v>15</v>
      </c>
      <c r="M47" s="16" t="s">
        <v>1815</v>
      </c>
      <c r="N47" s="16"/>
      <c r="O47" s="16"/>
    </row>
    <row r="48" spans="1:15" x14ac:dyDescent="0.3">
      <c r="A48" s="16">
        <v>47</v>
      </c>
      <c r="B48" s="16" t="s">
        <v>1641</v>
      </c>
      <c r="C48" s="16" t="str">
        <f>"V1441275933001"</f>
        <v>V1441275933001</v>
      </c>
      <c r="D48" s="16" t="s">
        <v>1816</v>
      </c>
      <c r="E48" s="16" t="s">
        <v>884</v>
      </c>
      <c r="F48" s="21">
        <v>9780071834087</v>
      </c>
      <c r="G48" s="16" t="s">
        <v>1808</v>
      </c>
      <c r="H48" s="16" t="s">
        <v>13</v>
      </c>
      <c r="I48" s="16">
        <v>2011</v>
      </c>
      <c r="J48" s="16" t="s">
        <v>1817</v>
      </c>
      <c r="K48" s="16" t="s">
        <v>1818</v>
      </c>
      <c r="L48" s="16" t="s">
        <v>15</v>
      </c>
      <c r="M48" s="16" t="s">
        <v>1819</v>
      </c>
      <c r="N48" s="16"/>
      <c r="O48" s="16"/>
    </row>
    <row r="49" spans="1:15" x14ac:dyDescent="0.3">
      <c r="A49" s="16">
        <v>48</v>
      </c>
      <c r="B49" s="16" t="s">
        <v>1641</v>
      </c>
      <c r="C49" s="16" t="str">
        <f>"V1441275934001"</f>
        <v>V1441275934001</v>
      </c>
      <c r="D49" s="16" t="s">
        <v>1820</v>
      </c>
      <c r="E49" s="16" t="s">
        <v>884</v>
      </c>
      <c r="F49" s="21">
        <v>9780071834087</v>
      </c>
      <c r="G49" s="16" t="s">
        <v>1808</v>
      </c>
      <c r="H49" s="16" t="s">
        <v>13</v>
      </c>
      <c r="I49" s="16">
        <v>2011</v>
      </c>
      <c r="J49" s="16" t="s">
        <v>1821</v>
      </c>
      <c r="K49" s="16" t="s">
        <v>1822</v>
      </c>
      <c r="L49" s="16" t="s">
        <v>15</v>
      </c>
      <c r="M49" s="16" t="s">
        <v>1823</v>
      </c>
      <c r="N49" s="16"/>
      <c r="O49" s="16"/>
    </row>
    <row r="50" spans="1:15" x14ac:dyDescent="0.3">
      <c r="A50" s="16">
        <v>49</v>
      </c>
      <c r="B50" s="16" t="s">
        <v>1641</v>
      </c>
      <c r="C50" s="16" t="str">
        <f>"V1441275935001"</f>
        <v>V1441275935001</v>
      </c>
      <c r="D50" s="16" t="s">
        <v>1824</v>
      </c>
      <c r="E50" s="16" t="s">
        <v>884</v>
      </c>
      <c r="F50" s="21">
        <v>9780071834087</v>
      </c>
      <c r="G50" s="16" t="s">
        <v>1808</v>
      </c>
      <c r="H50" s="16" t="s">
        <v>13</v>
      </c>
      <c r="I50" s="16">
        <v>2011</v>
      </c>
      <c r="J50" s="16" t="s">
        <v>1825</v>
      </c>
      <c r="K50" s="16" t="s">
        <v>1826</v>
      </c>
      <c r="L50" s="16" t="s">
        <v>15</v>
      </c>
      <c r="M50" s="16" t="s">
        <v>1827</v>
      </c>
      <c r="N50" s="16"/>
      <c r="O50" s="16"/>
    </row>
    <row r="51" spans="1:15" x14ac:dyDescent="0.3">
      <c r="A51" s="16">
        <v>50</v>
      </c>
      <c r="B51" s="16" t="s">
        <v>1641</v>
      </c>
      <c r="C51" s="16" t="str">
        <f>"V1441275936001"</f>
        <v>V1441275936001</v>
      </c>
      <c r="D51" s="16" t="s">
        <v>1828</v>
      </c>
      <c r="E51" s="16" t="s">
        <v>884</v>
      </c>
      <c r="F51" s="21">
        <v>9780071834087</v>
      </c>
      <c r="G51" s="16" t="s">
        <v>1808</v>
      </c>
      <c r="H51" s="16" t="s">
        <v>13</v>
      </c>
      <c r="I51" s="16">
        <v>2011</v>
      </c>
      <c r="J51" s="16" t="s">
        <v>1829</v>
      </c>
      <c r="K51" s="16" t="s">
        <v>1830</v>
      </c>
      <c r="L51" s="16" t="s">
        <v>15</v>
      </c>
      <c r="M51" s="16" t="s">
        <v>1831</v>
      </c>
      <c r="N51" s="16"/>
      <c r="O51" s="16"/>
    </row>
    <row r="52" spans="1:15" x14ac:dyDescent="0.3">
      <c r="A52" s="16">
        <v>51</v>
      </c>
      <c r="B52" s="16" t="s">
        <v>1641</v>
      </c>
      <c r="C52" s="16" t="str">
        <f>"V1441275937001"</f>
        <v>V1441275937001</v>
      </c>
      <c r="D52" s="16" t="s">
        <v>1832</v>
      </c>
      <c r="E52" s="16" t="s">
        <v>884</v>
      </c>
      <c r="F52" s="21">
        <v>9780071834087</v>
      </c>
      <c r="G52" s="16" t="s">
        <v>1808</v>
      </c>
      <c r="H52" s="16" t="s">
        <v>13</v>
      </c>
      <c r="I52" s="16">
        <v>2011</v>
      </c>
      <c r="J52" s="16" t="s">
        <v>1833</v>
      </c>
      <c r="K52" s="16" t="s">
        <v>1834</v>
      </c>
      <c r="L52" s="16" t="s">
        <v>15</v>
      </c>
      <c r="M52" s="16" t="s">
        <v>1835</v>
      </c>
      <c r="N52" s="16"/>
      <c r="O52" s="16"/>
    </row>
    <row r="53" spans="1:15" x14ac:dyDescent="0.3">
      <c r="A53" s="16">
        <v>52</v>
      </c>
      <c r="B53" s="16" t="s">
        <v>1641</v>
      </c>
      <c r="C53" s="16" t="str">
        <f>"V1441287617001"</f>
        <v>V1441287617001</v>
      </c>
      <c r="D53" s="16" t="s">
        <v>1836</v>
      </c>
      <c r="E53" s="16" t="s">
        <v>884</v>
      </c>
      <c r="F53" s="21">
        <v>9780071834087</v>
      </c>
      <c r="G53" s="16" t="s">
        <v>1808</v>
      </c>
      <c r="H53" s="16" t="s">
        <v>13</v>
      </c>
      <c r="I53" s="16">
        <v>2012</v>
      </c>
      <c r="J53" s="16" t="s">
        <v>1837</v>
      </c>
      <c r="K53" s="16" t="s">
        <v>1838</v>
      </c>
      <c r="L53" s="16" t="s">
        <v>15</v>
      </c>
      <c r="M53" s="16" t="s">
        <v>1839</v>
      </c>
      <c r="N53" s="16"/>
      <c r="O53" s="16"/>
    </row>
    <row r="54" spans="1:15" x14ac:dyDescent="0.3">
      <c r="A54" s="16">
        <v>53</v>
      </c>
      <c r="B54" s="16" t="s">
        <v>1641</v>
      </c>
      <c r="C54" s="16" t="str">
        <f>"V1441287619001"</f>
        <v>V1441287619001</v>
      </c>
      <c r="D54" s="16" t="s">
        <v>1840</v>
      </c>
      <c r="E54" s="16" t="s">
        <v>884</v>
      </c>
      <c r="F54" s="21">
        <v>9780071834087</v>
      </c>
      <c r="G54" s="16" t="s">
        <v>1808</v>
      </c>
      <c r="H54" s="16" t="s">
        <v>13</v>
      </c>
      <c r="I54" s="16">
        <v>2011</v>
      </c>
      <c r="J54" s="16" t="s">
        <v>1841</v>
      </c>
      <c r="K54" s="16" t="s">
        <v>1711</v>
      </c>
      <c r="L54" s="16" t="s">
        <v>15</v>
      </c>
      <c r="M54" s="16" t="s">
        <v>1842</v>
      </c>
      <c r="N54" s="16"/>
      <c r="O54" s="16"/>
    </row>
    <row r="55" spans="1:15" x14ac:dyDescent="0.3">
      <c r="A55" s="16">
        <v>54</v>
      </c>
      <c r="B55" s="16" t="s">
        <v>1641</v>
      </c>
      <c r="C55" s="16" t="str">
        <f>"V1441287620001"</f>
        <v>V1441287620001</v>
      </c>
      <c r="D55" s="16" t="s">
        <v>1843</v>
      </c>
      <c r="E55" s="16" t="s">
        <v>884</v>
      </c>
      <c r="F55" s="21">
        <v>9780071834087</v>
      </c>
      <c r="G55" s="16" t="s">
        <v>1808</v>
      </c>
      <c r="H55" s="16" t="s">
        <v>13</v>
      </c>
      <c r="I55" s="16">
        <v>2011</v>
      </c>
      <c r="J55" s="16" t="s">
        <v>1844</v>
      </c>
      <c r="K55" s="16" t="s">
        <v>1845</v>
      </c>
      <c r="L55" s="16" t="s">
        <v>15</v>
      </c>
      <c r="M55" s="16" t="s">
        <v>1846</v>
      </c>
      <c r="N55" s="16"/>
      <c r="O55" s="16"/>
    </row>
    <row r="56" spans="1:15" x14ac:dyDescent="0.3">
      <c r="A56" s="16">
        <v>55</v>
      </c>
      <c r="B56" s="16" t="s">
        <v>1641</v>
      </c>
      <c r="C56" s="16" t="str">
        <f>"V1441287622001"</f>
        <v>V1441287622001</v>
      </c>
      <c r="D56" s="16" t="s">
        <v>1847</v>
      </c>
      <c r="E56" s="16" t="s">
        <v>884</v>
      </c>
      <c r="F56" s="21">
        <v>9780071834087</v>
      </c>
      <c r="G56" s="16" t="s">
        <v>1808</v>
      </c>
      <c r="H56" s="16" t="s">
        <v>13</v>
      </c>
      <c r="I56" s="16">
        <v>2011</v>
      </c>
      <c r="J56" s="16" t="s">
        <v>1848</v>
      </c>
      <c r="K56" s="16" t="s">
        <v>1834</v>
      </c>
      <c r="L56" s="16" t="s">
        <v>15</v>
      </c>
      <c r="M56" s="16" t="s">
        <v>1849</v>
      </c>
      <c r="N56" s="16"/>
      <c r="O56" s="16"/>
    </row>
    <row r="57" spans="1:15" x14ac:dyDescent="0.3">
      <c r="A57" s="16">
        <v>56</v>
      </c>
      <c r="B57" s="16" t="s">
        <v>1641</v>
      </c>
      <c r="C57" s="16" t="str">
        <f>"V1441287627001"</f>
        <v>V1441287627001</v>
      </c>
      <c r="D57" s="16" t="s">
        <v>1850</v>
      </c>
      <c r="E57" s="16" t="s">
        <v>884</v>
      </c>
      <c r="F57" s="21">
        <v>9780071834087</v>
      </c>
      <c r="G57" s="16" t="s">
        <v>1808</v>
      </c>
      <c r="H57" s="16" t="s">
        <v>13</v>
      </c>
      <c r="I57" s="16">
        <v>2011</v>
      </c>
      <c r="J57" s="16" t="s">
        <v>1851</v>
      </c>
      <c r="K57" s="16" t="s">
        <v>1852</v>
      </c>
      <c r="L57" s="16" t="s">
        <v>15</v>
      </c>
      <c r="M57" s="16" t="s">
        <v>1853</v>
      </c>
      <c r="N57" s="16"/>
      <c r="O57" s="16"/>
    </row>
    <row r="58" spans="1:15" x14ac:dyDescent="0.3">
      <c r="A58" s="16">
        <v>57</v>
      </c>
      <c r="B58" s="16" t="s">
        <v>1641</v>
      </c>
      <c r="C58" s="16" t="str">
        <f>"V1441287628001"</f>
        <v>V1441287628001</v>
      </c>
      <c r="D58" s="16" t="s">
        <v>1854</v>
      </c>
      <c r="E58" s="16" t="s">
        <v>884</v>
      </c>
      <c r="F58" s="21">
        <v>9780071834087</v>
      </c>
      <c r="G58" s="16" t="s">
        <v>1808</v>
      </c>
      <c r="H58" s="16" t="s">
        <v>13</v>
      </c>
      <c r="I58" s="16">
        <v>2011</v>
      </c>
      <c r="J58" s="16" t="s">
        <v>1855</v>
      </c>
      <c r="K58" s="16" t="s">
        <v>1834</v>
      </c>
      <c r="L58" s="16" t="s">
        <v>15</v>
      </c>
      <c r="M58" s="16" t="s">
        <v>1856</v>
      </c>
      <c r="N58" s="16"/>
      <c r="O58" s="16"/>
    </row>
    <row r="59" spans="1:15" x14ac:dyDescent="0.3">
      <c r="A59" s="16">
        <v>58</v>
      </c>
      <c r="B59" s="16" t="s">
        <v>1641</v>
      </c>
      <c r="C59" s="16" t="str">
        <f>"V1441287629001"</f>
        <v>V1441287629001</v>
      </c>
      <c r="D59" s="16" t="s">
        <v>1857</v>
      </c>
      <c r="E59" s="16" t="s">
        <v>884</v>
      </c>
      <c r="F59" s="21">
        <v>9780071834087</v>
      </c>
      <c r="G59" s="16" t="s">
        <v>1808</v>
      </c>
      <c r="H59" s="16" t="s">
        <v>13</v>
      </c>
      <c r="I59" s="16">
        <v>2011</v>
      </c>
      <c r="J59" s="16" t="s">
        <v>1858</v>
      </c>
      <c r="K59" s="16" t="s">
        <v>1859</v>
      </c>
      <c r="L59" s="16" t="s">
        <v>15</v>
      </c>
      <c r="M59" s="16" t="s">
        <v>1860</v>
      </c>
      <c r="N59" s="16"/>
      <c r="O59" s="16"/>
    </row>
    <row r="60" spans="1:15" x14ac:dyDescent="0.3">
      <c r="A60" s="16">
        <v>59</v>
      </c>
      <c r="B60" s="16" t="s">
        <v>1641</v>
      </c>
      <c r="C60" s="16" t="str">
        <f>"V1441287631001"</f>
        <v>V1441287631001</v>
      </c>
      <c r="D60" s="16" t="s">
        <v>1861</v>
      </c>
      <c r="E60" s="16" t="s">
        <v>884</v>
      </c>
      <c r="F60" s="21">
        <v>9780071834087</v>
      </c>
      <c r="G60" s="16" t="s">
        <v>1808</v>
      </c>
      <c r="H60" s="16" t="s">
        <v>13</v>
      </c>
      <c r="I60" s="16">
        <v>2011</v>
      </c>
      <c r="J60" s="16" t="s">
        <v>1862</v>
      </c>
      <c r="K60" s="16" t="s">
        <v>1863</v>
      </c>
      <c r="L60" s="16" t="s">
        <v>15</v>
      </c>
      <c r="M60" s="16" t="s">
        <v>1864</v>
      </c>
      <c r="N60" s="16"/>
      <c r="O60" s="16"/>
    </row>
    <row r="61" spans="1:15" x14ac:dyDescent="0.3">
      <c r="A61" s="16">
        <v>60</v>
      </c>
      <c r="B61" s="16" t="s">
        <v>1641</v>
      </c>
      <c r="C61" s="16" t="str">
        <f>"V1441301815001"</f>
        <v>V1441301815001</v>
      </c>
      <c r="D61" s="16" t="s">
        <v>1865</v>
      </c>
      <c r="E61" s="16" t="s">
        <v>884</v>
      </c>
      <c r="F61" s="21">
        <v>9780071834087</v>
      </c>
      <c r="G61" s="16" t="s">
        <v>1808</v>
      </c>
      <c r="H61" s="16" t="s">
        <v>13</v>
      </c>
      <c r="I61" s="16">
        <v>2011</v>
      </c>
      <c r="J61" s="16" t="s">
        <v>1866</v>
      </c>
      <c r="K61" s="16" t="s">
        <v>1867</v>
      </c>
      <c r="L61" s="16" t="s">
        <v>15</v>
      </c>
      <c r="M61" s="16" t="s">
        <v>1868</v>
      </c>
      <c r="N61" s="16"/>
      <c r="O61" s="16"/>
    </row>
    <row r="62" spans="1:15" x14ac:dyDescent="0.3">
      <c r="A62" s="16">
        <v>61</v>
      </c>
      <c r="B62" s="16" t="s">
        <v>1641</v>
      </c>
      <c r="C62" s="16" t="str">
        <f>"V1441301817001"</f>
        <v>V1441301817001</v>
      </c>
      <c r="D62" s="16" t="s">
        <v>1869</v>
      </c>
      <c r="E62" s="16" t="s">
        <v>884</v>
      </c>
      <c r="F62" s="21">
        <v>9780071834087</v>
      </c>
      <c r="G62" s="16" t="s">
        <v>1808</v>
      </c>
      <c r="H62" s="16" t="s">
        <v>13</v>
      </c>
      <c r="I62" s="16">
        <v>2011</v>
      </c>
      <c r="J62" s="16" t="s">
        <v>1870</v>
      </c>
      <c r="K62" s="16" t="s">
        <v>1871</v>
      </c>
      <c r="L62" s="16" t="s">
        <v>15</v>
      </c>
      <c r="M62" s="16" t="s">
        <v>1872</v>
      </c>
      <c r="N62" s="16"/>
      <c r="O62" s="16"/>
    </row>
    <row r="63" spans="1:15" x14ac:dyDescent="0.3">
      <c r="A63" s="16">
        <v>62</v>
      </c>
      <c r="B63" s="16" t="s">
        <v>1641</v>
      </c>
      <c r="C63" s="16" t="str">
        <f>"V1441301819001"</f>
        <v>V1441301819001</v>
      </c>
      <c r="D63" s="16" t="s">
        <v>1873</v>
      </c>
      <c r="E63" s="16" t="s">
        <v>884</v>
      </c>
      <c r="F63" s="21">
        <v>9780071834087</v>
      </c>
      <c r="G63" s="16" t="s">
        <v>1808</v>
      </c>
      <c r="H63" s="16" t="s">
        <v>13</v>
      </c>
      <c r="I63" s="16">
        <v>2011</v>
      </c>
      <c r="J63" s="16" t="s">
        <v>1874</v>
      </c>
      <c r="K63" s="16" t="s">
        <v>1875</v>
      </c>
      <c r="L63" s="16" t="s">
        <v>15</v>
      </c>
      <c r="M63" s="16" t="s">
        <v>1876</v>
      </c>
      <c r="N63" s="16"/>
      <c r="O63" s="16"/>
    </row>
    <row r="64" spans="1:15" x14ac:dyDescent="0.3">
      <c r="A64" s="16">
        <v>63</v>
      </c>
      <c r="B64" s="16" t="s">
        <v>1641</v>
      </c>
      <c r="C64" s="16" t="str">
        <f>"V1441301820001"</f>
        <v>V1441301820001</v>
      </c>
      <c r="D64" s="16" t="s">
        <v>1877</v>
      </c>
      <c r="E64" s="16" t="s">
        <v>884</v>
      </c>
      <c r="F64" s="21">
        <v>9780071834087</v>
      </c>
      <c r="G64" s="16" t="s">
        <v>1808</v>
      </c>
      <c r="H64" s="16" t="s">
        <v>13</v>
      </c>
      <c r="I64" s="16">
        <v>2011</v>
      </c>
      <c r="J64" s="16" t="s">
        <v>1878</v>
      </c>
      <c r="K64" s="16" t="s">
        <v>154</v>
      </c>
      <c r="L64" s="16" t="s">
        <v>15</v>
      </c>
      <c r="M64" s="16" t="s">
        <v>1879</v>
      </c>
      <c r="N64" s="16"/>
      <c r="O64" s="16"/>
    </row>
    <row r="65" spans="1:15" x14ac:dyDescent="0.3">
      <c r="A65" s="16">
        <v>64</v>
      </c>
      <c r="B65" s="16" t="s">
        <v>1641</v>
      </c>
      <c r="C65" s="16" t="str">
        <f>"V1441301821001"</f>
        <v>V1441301821001</v>
      </c>
      <c r="D65" s="16" t="s">
        <v>1880</v>
      </c>
      <c r="E65" s="16" t="s">
        <v>884</v>
      </c>
      <c r="F65" s="21">
        <v>9780071834087</v>
      </c>
      <c r="G65" s="16" t="s">
        <v>1808</v>
      </c>
      <c r="H65" s="16" t="s">
        <v>13</v>
      </c>
      <c r="I65" s="16">
        <v>2011</v>
      </c>
      <c r="J65" s="16" t="s">
        <v>1881</v>
      </c>
      <c r="K65" s="16" t="s">
        <v>1882</v>
      </c>
      <c r="L65" s="16" t="s">
        <v>15</v>
      </c>
      <c r="M65" s="16" t="s">
        <v>1883</v>
      </c>
      <c r="N65" s="16"/>
      <c r="O65" s="16"/>
    </row>
    <row r="66" spans="1:15" x14ac:dyDescent="0.3">
      <c r="A66" s="16">
        <v>65</v>
      </c>
      <c r="B66" s="16" t="s">
        <v>1641</v>
      </c>
      <c r="C66" s="16" t="str">
        <f>"V1441301822001"</f>
        <v>V1441301822001</v>
      </c>
      <c r="D66" s="16" t="s">
        <v>1884</v>
      </c>
      <c r="E66" s="16" t="s">
        <v>884</v>
      </c>
      <c r="F66" s="21">
        <v>9780071834087</v>
      </c>
      <c r="G66" s="16" t="s">
        <v>1808</v>
      </c>
      <c r="H66" s="16" t="s">
        <v>13</v>
      </c>
      <c r="I66" s="16">
        <v>2011</v>
      </c>
      <c r="J66" s="16" t="s">
        <v>1885</v>
      </c>
      <c r="K66" s="16" t="s">
        <v>1886</v>
      </c>
      <c r="L66" s="16" t="s">
        <v>15</v>
      </c>
      <c r="M66" s="16" t="s">
        <v>1887</v>
      </c>
      <c r="N66" s="16"/>
      <c r="O66" s="16"/>
    </row>
    <row r="67" spans="1:15" x14ac:dyDescent="0.3">
      <c r="A67" s="16">
        <v>66</v>
      </c>
      <c r="B67" s="16" t="s">
        <v>1641</v>
      </c>
      <c r="C67" s="16" t="str">
        <f>"V1441301823001"</f>
        <v>V1441301823001</v>
      </c>
      <c r="D67" s="16" t="s">
        <v>1888</v>
      </c>
      <c r="E67" s="16" t="s">
        <v>884</v>
      </c>
      <c r="F67" s="21">
        <v>9780071834087</v>
      </c>
      <c r="G67" s="16" t="s">
        <v>1808</v>
      </c>
      <c r="H67" s="16" t="s">
        <v>13</v>
      </c>
      <c r="I67" s="16">
        <v>2011</v>
      </c>
      <c r="J67" s="16" t="s">
        <v>1889</v>
      </c>
      <c r="K67" s="16" t="s">
        <v>1711</v>
      </c>
      <c r="L67" s="16" t="s">
        <v>15</v>
      </c>
      <c r="M67" s="16" t="s">
        <v>1890</v>
      </c>
      <c r="N67" s="16"/>
      <c r="O67" s="16"/>
    </row>
    <row r="68" spans="1:15" x14ac:dyDescent="0.3">
      <c r="A68" s="16">
        <v>67</v>
      </c>
      <c r="B68" s="16" t="s">
        <v>1641</v>
      </c>
      <c r="C68" s="16" t="str">
        <f>"V1441301825001"</f>
        <v>V1441301825001</v>
      </c>
      <c r="D68" s="16" t="s">
        <v>1891</v>
      </c>
      <c r="E68" s="16" t="s">
        <v>884</v>
      </c>
      <c r="F68" s="21">
        <v>9780071834087</v>
      </c>
      <c r="G68" s="16" t="s">
        <v>1808</v>
      </c>
      <c r="H68" s="16" t="s">
        <v>13</v>
      </c>
      <c r="I68" s="16">
        <v>2011</v>
      </c>
      <c r="J68" s="16" t="s">
        <v>1892</v>
      </c>
      <c r="K68" s="16" t="s">
        <v>1893</v>
      </c>
      <c r="L68" s="16" t="s">
        <v>15</v>
      </c>
      <c r="M68" s="16" t="s">
        <v>1894</v>
      </c>
      <c r="N68" s="16"/>
      <c r="O68" s="16"/>
    </row>
    <row r="69" spans="1:15" x14ac:dyDescent="0.3">
      <c r="A69" s="16">
        <v>68</v>
      </c>
      <c r="B69" s="16" t="s">
        <v>1641</v>
      </c>
      <c r="C69" s="16" t="str">
        <f>"V1441301826001"</f>
        <v>V1441301826001</v>
      </c>
      <c r="D69" s="16" t="s">
        <v>1895</v>
      </c>
      <c r="E69" s="16" t="s">
        <v>884</v>
      </c>
      <c r="F69" s="21">
        <v>9780071834087</v>
      </c>
      <c r="G69" s="16" t="s">
        <v>1808</v>
      </c>
      <c r="H69" s="16" t="s">
        <v>13</v>
      </c>
      <c r="I69" s="16">
        <v>2011</v>
      </c>
      <c r="J69" s="16" t="s">
        <v>1896</v>
      </c>
      <c r="K69" s="16" t="s">
        <v>1863</v>
      </c>
      <c r="L69" s="16" t="s">
        <v>15</v>
      </c>
      <c r="M69" s="16" t="s">
        <v>1897</v>
      </c>
      <c r="N69" s="16"/>
      <c r="O69" s="16"/>
    </row>
    <row r="70" spans="1:15" x14ac:dyDescent="0.3">
      <c r="A70" s="16">
        <v>69</v>
      </c>
      <c r="B70" s="16" t="s">
        <v>1641</v>
      </c>
      <c r="C70" s="16" t="str">
        <f>"V1441327345001"</f>
        <v>V1441327345001</v>
      </c>
      <c r="D70" s="16" t="s">
        <v>1898</v>
      </c>
      <c r="E70" s="16" t="s">
        <v>884</v>
      </c>
      <c r="F70" s="21">
        <v>9780071834087</v>
      </c>
      <c r="G70" s="16" t="s">
        <v>1808</v>
      </c>
      <c r="H70" s="16" t="s">
        <v>13</v>
      </c>
      <c r="I70" s="16">
        <v>2011</v>
      </c>
      <c r="J70" s="16" t="s">
        <v>1899</v>
      </c>
      <c r="K70" s="16" t="s">
        <v>1834</v>
      </c>
      <c r="L70" s="16" t="s">
        <v>15</v>
      </c>
      <c r="M70" s="16" t="s">
        <v>1900</v>
      </c>
      <c r="N70" s="16"/>
      <c r="O70" s="16"/>
    </row>
    <row r="71" spans="1:15" x14ac:dyDescent="0.3">
      <c r="A71" s="16">
        <v>70</v>
      </c>
      <c r="B71" s="16" t="s">
        <v>1641</v>
      </c>
      <c r="C71" s="16" t="str">
        <f>"V1450345433001"</f>
        <v>V1450345433001</v>
      </c>
      <c r="D71" s="16" t="s">
        <v>1901</v>
      </c>
      <c r="E71" s="16" t="s">
        <v>884</v>
      </c>
      <c r="F71" s="21">
        <v>9780071834087</v>
      </c>
      <c r="G71" s="16" t="s">
        <v>1808</v>
      </c>
      <c r="H71" s="16" t="s">
        <v>13</v>
      </c>
      <c r="I71" s="16">
        <v>2011</v>
      </c>
      <c r="J71" s="16" t="s">
        <v>1902</v>
      </c>
      <c r="K71" s="16" t="s">
        <v>1814</v>
      </c>
      <c r="L71" s="16" t="s">
        <v>15</v>
      </c>
      <c r="M71" s="16" t="s">
        <v>1903</v>
      </c>
      <c r="N71" s="16"/>
      <c r="O71" s="16"/>
    </row>
    <row r="72" spans="1:15" x14ac:dyDescent="0.3">
      <c r="A72" s="16">
        <v>71</v>
      </c>
      <c r="B72" s="16" t="s">
        <v>1641</v>
      </c>
      <c r="C72" s="16" t="str">
        <f>"V1478288925001"</f>
        <v>V1478288925001</v>
      </c>
      <c r="D72" s="16" t="s">
        <v>1904</v>
      </c>
      <c r="E72" s="16" t="s">
        <v>884</v>
      </c>
      <c r="F72" s="21">
        <v>9780071834087</v>
      </c>
      <c r="G72" s="16" t="s">
        <v>1808</v>
      </c>
      <c r="H72" s="16" t="s">
        <v>13</v>
      </c>
      <c r="I72" s="16">
        <v>2012</v>
      </c>
      <c r="J72" s="16" t="s">
        <v>1905</v>
      </c>
      <c r="K72" s="16" t="s">
        <v>1906</v>
      </c>
      <c r="L72" s="16" t="s">
        <v>15</v>
      </c>
      <c r="M72" s="16" t="s">
        <v>1907</v>
      </c>
      <c r="N72" s="16"/>
      <c r="O72" s="16"/>
    </row>
    <row r="73" spans="1:15" x14ac:dyDescent="0.3">
      <c r="A73" s="16">
        <v>72</v>
      </c>
      <c r="B73" s="16" t="s">
        <v>1641</v>
      </c>
      <c r="C73" s="16" t="str">
        <f>"V1478288927001"</f>
        <v>V1478288927001</v>
      </c>
      <c r="D73" s="16" t="s">
        <v>1908</v>
      </c>
      <c r="E73" s="16" t="s">
        <v>884</v>
      </c>
      <c r="F73" s="21">
        <v>9780071834087</v>
      </c>
      <c r="G73" s="16" t="s">
        <v>1808</v>
      </c>
      <c r="H73" s="16" t="s">
        <v>13</v>
      </c>
      <c r="I73" s="16">
        <v>2012</v>
      </c>
      <c r="J73" s="16" t="s">
        <v>1909</v>
      </c>
      <c r="K73" s="16" t="s">
        <v>191</v>
      </c>
      <c r="L73" s="16" t="s">
        <v>15</v>
      </c>
      <c r="M73" s="16" t="s">
        <v>1910</v>
      </c>
      <c r="N73" s="16"/>
      <c r="O73" s="16"/>
    </row>
    <row r="74" spans="1:15" x14ac:dyDescent="0.3">
      <c r="A74" s="16">
        <v>73</v>
      </c>
      <c r="B74" s="16" t="s">
        <v>1641</v>
      </c>
      <c r="C74" s="16" t="str">
        <f>"V1836229548001"</f>
        <v>V1836229548001</v>
      </c>
      <c r="D74" s="16" t="s">
        <v>1911</v>
      </c>
      <c r="E74" s="16" t="s">
        <v>1912</v>
      </c>
      <c r="F74" s="21" t="s">
        <v>1913</v>
      </c>
      <c r="G74" s="16" t="s">
        <v>1714</v>
      </c>
      <c r="H74" s="16" t="s">
        <v>13</v>
      </c>
      <c r="I74" s="16">
        <v>2012</v>
      </c>
      <c r="J74" s="16" t="s">
        <v>1914</v>
      </c>
      <c r="K74" s="16" t="s">
        <v>1915</v>
      </c>
      <c r="L74" s="16" t="s">
        <v>15</v>
      </c>
      <c r="M74" s="16" t="s">
        <v>1916</v>
      </c>
      <c r="N74" s="16"/>
      <c r="O74" s="16"/>
    </row>
    <row r="75" spans="1:15" x14ac:dyDescent="0.3">
      <c r="A75" s="16">
        <v>74</v>
      </c>
      <c r="B75" s="16" t="s">
        <v>1641</v>
      </c>
      <c r="C75" s="16" t="str">
        <f>"V1836229553001"</f>
        <v>V1836229553001</v>
      </c>
      <c r="D75" s="16" t="s">
        <v>1917</v>
      </c>
      <c r="E75" s="16" t="s">
        <v>1912</v>
      </c>
      <c r="F75" s="21" t="s">
        <v>1913</v>
      </c>
      <c r="G75" s="16" t="s">
        <v>1714</v>
      </c>
      <c r="H75" s="16" t="s">
        <v>13</v>
      </c>
      <c r="I75" s="16">
        <v>2012</v>
      </c>
      <c r="J75" s="16" t="s">
        <v>1918</v>
      </c>
      <c r="K75" s="16" t="s">
        <v>1919</v>
      </c>
      <c r="L75" s="16" t="s">
        <v>15</v>
      </c>
      <c r="M75" s="16" t="s">
        <v>1920</v>
      </c>
      <c r="N75" s="16"/>
      <c r="O75" s="16"/>
    </row>
    <row r="76" spans="1:15" x14ac:dyDescent="0.3">
      <c r="A76" s="16">
        <v>75</v>
      </c>
      <c r="B76" s="16" t="s">
        <v>1641</v>
      </c>
      <c r="C76" s="16" t="str">
        <f>"V1836229556001"</f>
        <v>V1836229556001</v>
      </c>
      <c r="D76" s="16" t="s">
        <v>1921</v>
      </c>
      <c r="E76" s="16" t="s">
        <v>1912</v>
      </c>
      <c r="F76" s="21" t="s">
        <v>1913</v>
      </c>
      <c r="G76" s="16" t="s">
        <v>1714</v>
      </c>
      <c r="H76" s="16" t="s">
        <v>13</v>
      </c>
      <c r="I76" s="16">
        <v>2012</v>
      </c>
      <c r="J76" s="16" t="s">
        <v>1922</v>
      </c>
      <c r="K76" s="16" t="s">
        <v>1617</v>
      </c>
      <c r="L76" s="16" t="s">
        <v>15</v>
      </c>
      <c r="M76" s="16" t="s">
        <v>1923</v>
      </c>
      <c r="N76" s="16"/>
      <c r="O76" s="16"/>
    </row>
    <row r="77" spans="1:15" x14ac:dyDescent="0.3">
      <c r="A77" s="16">
        <v>76</v>
      </c>
      <c r="B77" s="16" t="s">
        <v>1641</v>
      </c>
      <c r="C77" s="16" t="str">
        <f>"V1836229557001"</f>
        <v>V1836229557001</v>
      </c>
      <c r="D77" s="16" t="s">
        <v>1924</v>
      </c>
      <c r="E77" s="16" t="s">
        <v>1912</v>
      </c>
      <c r="F77" s="21" t="s">
        <v>1913</v>
      </c>
      <c r="G77" s="16" t="s">
        <v>1714</v>
      </c>
      <c r="H77" s="16" t="s">
        <v>13</v>
      </c>
      <c r="I77" s="16">
        <v>2012</v>
      </c>
      <c r="J77" s="16" t="s">
        <v>1925</v>
      </c>
      <c r="K77" s="16" t="s">
        <v>1926</v>
      </c>
      <c r="L77" s="16" t="s">
        <v>15</v>
      </c>
      <c r="M77" s="16" t="s">
        <v>1927</v>
      </c>
      <c r="N77" s="16"/>
      <c r="O77" s="16"/>
    </row>
    <row r="78" spans="1:15" x14ac:dyDescent="0.3">
      <c r="A78" s="16">
        <v>77</v>
      </c>
      <c r="B78" s="16" t="s">
        <v>1641</v>
      </c>
      <c r="C78" s="16" t="str">
        <f>"V1836229560001"</f>
        <v>V1836229560001</v>
      </c>
      <c r="D78" s="16" t="s">
        <v>1928</v>
      </c>
      <c r="E78" s="16" t="s">
        <v>1912</v>
      </c>
      <c r="F78" s="21" t="s">
        <v>1913</v>
      </c>
      <c r="G78" s="16" t="s">
        <v>1714</v>
      </c>
      <c r="H78" s="16" t="s">
        <v>13</v>
      </c>
      <c r="I78" s="16">
        <v>2012</v>
      </c>
      <c r="J78" s="16" t="s">
        <v>1929</v>
      </c>
      <c r="K78" s="16" t="s">
        <v>64</v>
      </c>
      <c r="L78" s="16" t="s">
        <v>15</v>
      </c>
      <c r="M78" s="16" t="s">
        <v>1930</v>
      </c>
      <c r="N78" s="16"/>
      <c r="O78" s="16"/>
    </row>
    <row r="79" spans="1:15" x14ac:dyDescent="0.3">
      <c r="A79" s="16">
        <v>78</v>
      </c>
      <c r="B79" s="16" t="s">
        <v>1641</v>
      </c>
      <c r="C79" s="16" t="str">
        <f>"V1836229561001"</f>
        <v>V1836229561001</v>
      </c>
      <c r="D79" s="16" t="s">
        <v>1931</v>
      </c>
      <c r="E79" s="16" t="s">
        <v>1912</v>
      </c>
      <c r="F79" s="21" t="s">
        <v>1913</v>
      </c>
      <c r="G79" s="16" t="s">
        <v>1714</v>
      </c>
      <c r="H79" s="16" t="s">
        <v>13</v>
      </c>
      <c r="I79" s="16">
        <v>2012</v>
      </c>
      <c r="J79" s="16" t="s">
        <v>1932</v>
      </c>
      <c r="K79" s="16" t="s">
        <v>1617</v>
      </c>
      <c r="L79" s="16" t="s">
        <v>15</v>
      </c>
      <c r="M79" s="16" t="s">
        <v>1933</v>
      </c>
      <c r="N79" s="16"/>
      <c r="O79" s="16"/>
    </row>
    <row r="80" spans="1:15" x14ac:dyDescent="0.3">
      <c r="A80" s="16">
        <v>79</v>
      </c>
      <c r="B80" s="16" t="s">
        <v>1641</v>
      </c>
      <c r="C80" s="16" t="str">
        <f>"V1836229563001"</f>
        <v>V1836229563001</v>
      </c>
      <c r="D80" s="16" t="s">
        <v>1934</v>
      </c>
      <c r="E80" s="16" t="s">
        <v>1912</v>
      </c>
      <c r="F80" s="21" t="s">
        <v>1913</v>
      </c>
      <c r="G80" s="16" t="s">
        <v>1714</v>
      </c>
      <c r="H80" s="16" t="s">
        <v>13</v>
      </c>
      <c r="I80" s="16">
        <v>2012</v>
      </c>
      <c r="J80" s="16" t="s">
        <v>1935</v>
      </c>
      <c r="K80" s="16" t="s">
        <v>1936</v>
      </c>
      <c r="L80" s="16" t="s">
        <v>15</v>
      </c>
      <c r="M80" s="16" t="s">
        <v>1937</v>
      </c>
      <c r="N80" s="16"/>
      <c r="O80" s="16"/>
    </row>
    <row r="81" spans="1:15" x14ac:dyDescent="0.3">
      <c r="A81" s="16">
        <v>80</v>
      </c>
      <c r="B81" s="16" t="s">
        <v>1641</v>
      </c>
      <c r="C81" s="16" t="str">
        <f>"V1836243646001"</f>
        <v>V1836243646001</v>
      </c>
      <c r="D81" s="16" t="s">
        <v>1938</v>
      </c>
      <c r="E81" s="16" t="s">
        <v>1912</v>
      </c>
      <c r="F81" s="21" t="s">
        <v>1913</v>
      </c>
      <c r="G81" s="16" t="s">
        <v>1686</v>
      </c>
      <c r="H81" s="16" t="s">
        <v>13</v>
      </c>
      <c r="I81" s="16">
        <v>2012</v>
      </c>
      <c r="J81" s="16" t="s">
        <v>1939</v>
      </c>
      <c r="K81" s="16" t="s">
        <v>1940</v>
      </c>
      <c r="L81" s="16" t="s">
        <v>15</v>
      </c>
      <c r="M81" s="16" t="s">
        <v>1941</v>
      </c>
      <c r="N81" s="16"/>
      <c r="O81" s="16"/>
    </row>
    <row r="82" spans="1:15" x14ac:dyDescent="0.3">
      <c r="A82" s="16">
        <v>81</v>
      </c>
      <c r="B82" s="16" t="s">
        <v>1641</v>
      </c>
      <c r="C82" s="16" t="str">
        <f>"V1836243648001"</f>
        <v>V1836243648001</v>
      </c>
      <c r="D82" s="16" t="s">
        <v>1942</v>
      </c>
      <c r="E82" s="16" t="s">
        <v>1912</v>
      </c>
      <c r="F82" s="21" t="s">
        <v>1913</v>
      </c>
      <c r="G82" s="16" t="s">
        <v>1686</v>
      </c>
      <c r="H82" s="16" t="s">
        <v>13</v>
      </c>
      <c r="I82" s="16">
        <v>2012</v>
      </c>
      <c r="J82" s="16" t="s">
        <v>1943</v>
      </c>
      <c r="K82" s="16" t="s">
        <v>1926</v>
      </c>
      <c r="L82" s="16" t="s">
        <v>15</v>
      </c>
      <c r="M82" s="16" t="s">
        <v>1944</v>
      </c>
      <c r="N82" s="16"/>
      <c r="O82" s="16"/>
    </row>
    <row r="83" spans="1:15" x14ac:dyDescent="0.3">
      <c r="A83" s="16">
        <v>82</v>
      </c>
      <c r="B83" s="16" t="s">
        <v>1641</v>
      </c>
      <c r="C83" s="16" t="str">
        <f>"V1836243649001"</f>
        <v>V1836243649001</v>
      </c>
      <c r="D83" s="16" t="s">
        <v>1945</v>
      </c>
      <c r="E83" s="16" t="s">
        <v>1912</v>
      </c>
      <c r="F83" s="21" t="s">
        <v>1913</v>
      </c>
      <c r="G83" s="16" t="s">
        <v>1686</v>
      </c>
      <c r="H83" s="16" t="s">
        <v>13</v>
      </c>
      <c r="I83" s="16">
        <v>2012</v>
      </c>
      <c r="J83" s="16" t="s">
        <v>1946</v>
      </c>
      <c r="K83" s="16" t="s">
        <v>1947</v>
      </c>
      <c r="L83" s="16" t="s">
        <v>15</v>
      </c>
      <c r="M83" s="16" t="s">
        <v>1948</v>
      </c>
      <c r="N83" s="16"/>
      <c r="O83" s="16"/>
    </row>
    <row r="84" spans="1:15" x14ac:dyDescent="0.3">
      <c r="A84" s="16">
        <v>83</v>
      </c>
      <c r="B84" s="16" t="s">
        <v>1641</v>
      </c>
      <c r="C84" s="16" t="str">
        <f>"V1836243651001"</f>
        <v>V1836243651001</v>
      </c>
      <c r="D84" s="16" t="s">
        <v>1949</v>
      </c>
      <c r="E84" s="16" t="s">
        <v>1912</v>
      </c>
      <c r="F84" s="21" t="s">
        <v>1913</v>
      </c>
      <c r="G84" s="16" t="s">
        <v>1714</v>
      </c>
      <c r="H84" s="16" t="s">
        <v>13</v>
      </c>
      <c r="I84" s="16">
        <v>2012</v>
      </c>
      <c r="J84" s="16" t="s">
        <v>1950</v>
      </c>
      <c r="K84" s="16" t="s">
        <v>1117</v>
      </c>
      <c r="L84" s="16" t="s">
        <v>15</v>
      </c>
      <c r="M84" s="16" t="s">
        <v>1951</v>
      </c>
      <c r="N84" s="16"/>
      <c r="O84" s="16"/>
    </row>
    <row r="85" spans="1:15" x14ac:dyDescent="0.3">
      <c r="A85" s="16">
        <v>84</v>
      </c>
      <c r="B85" s="16" t="s">
        <v>1641</v>
      </c>
      <c r="C85" s="16" t="str">
        <f>"V1836243656001"</f>
        <v>V1836243656001</v>
      </c>
      <c r="D85" s="16" t="s">
        <v>1952</v>
      </c>
      <c r="E85" s="16" t="s">
        <v>1912</v>
      </c>
      <c r="F85" s="21" t="s">
        <v>1913</v>
      </c>
      <c r="G85" s="16" t="s">
        <v>1714</v>
      </c>
      <c r="H85" s="16" t="s">
        <v>13</v>
      </c>
      <c r="I85" s="16">
        <v>2012</v>
      </c>
      <c r="J85" s="16" t="s">
        <v>1953</v>
      </c>
      <c r="K85" s="16" t="s">
        <v>1954</v>
      </c>
      <c r="L85" s="16" t="s">
        <v>15</v>
      </c>
      <c r="M85" s="16" t="s">
        <v>1955</v>
      </c>
      <c r="N85" s="16"/>
      <c r="O85" s="16"/>
    </row>
    <row r="86" spans="1:15" x14ac:dyDescent="0.3">
      <c r="A86" s="16">
        <v>85</v>
      </c>
      <c r="B86" s="16" t="s">
        <v>1641</v>
      </c>
      <c r="C86" s="16" t="str">
        <f>"V1836243658001"</f>
        <v>V1836243658001</v>
      </c>
      <c r="D86" s="16" t="s">
        <v>1956</v>
      </c>
      <c r="E86" s="16" t="s">
        <v>1912</v>
      </c>
      <c r="F86" s="21" t="s">
        <v>1913</v>
      </c>
      <c r="G86" s="16" t="s">
        <v>1714</v>
      </c>
      <c r="H86" s="16" t="s">
        <v>13</v>
      </c>
      <c r="I86" s="16">
        <v>2012</v>
      </c>
      <c r="J86" s="16" t="s">
        <v>1957</v>
      </c>
      <c r="K86" s="16" t="s">
        <v>1958</v>
      </c>
      <c r="L86" s="16" t="s">
        <v>15</v>
      </c>
      <c r="M86" s="16" t="s">
        <v>1959</v>
      </c>
      <c r="N86" s="16"/>
      <c r="O86" s="16"/>
    </row>
    <row r="87" spans="1:15" x14ac:dyDescent="0.3">
      <c r="A87" s="16">
        <v>86</v>
      </c>
      <c r="B87" s="16" t="s">
        <v>1641</v>
      </c>
      <c r="C87" s="16" t="str">
        <f>"V1836246972001"</f>
        <v>V1836246972001</v>
      </c>
      <c r="D87" s="16" t="s">
        <v>1960</v>
      </c>
      <c r="E87" s="16" t="s">
        <v>1912</v>
      </c>
      <c r="F87" s="21" t="s">
        <v>1913</v>
      </c>
      <c r="G87" s="16" t="s">
        <v>1714</v>
      </c>
      <c r="H87" s="16" t="s">
        <v>13</v>
      </c>
      <c r="I87" s="16">
        <v>2012</v>
      </c>
      <c r="J87" s="16" t="s">
        <v>1961</v>
      </c>
      <c r="K87" s="16" t="s">
        <v>64</v>
      </c>
      <c r="L87" s="16" t="s">
        <v>15</v>
      </c>
      <c r="M87" s="16" t="s">
        <v>1962</v>
      </c>
      <c r="N87" s="16"/>
      <c r="O87" s="16"/>
    </row>
    <row r="88" spans="1:15" x14ac:dyDescent="0.3">
      <c r="A88" s="16">
        <v>87</v>
      </c>
      <c r="B88" s="16" t="s">
        <v>1641</v>
      </c>
      <c r="C88" s="16" t="str">
        <f>"V1836246973001"</f>
        <v>V1836246973001</v>
      </c>
      <c r="D88" s="16" t="s">
        <v>1963</v>
      </c>
      <c r="E88" s="16" t="s">
        <v>1912</v>
      </c>
      <c r="F88" s="21" t="s">
        <v>1913</v>
      </c>
      <c r="G88" s="16" t="s">
        <v>1714</v>
      </c>
      <c r="H88" s="16" t="s">
        <v>13</v>
      </c>
      <c r="I88" s="16">
        <v>2012</v>
      </c>
      <c r="J88" s="16" t="s">
        <v>1964</v>
      </c>
      <c r="K88" s="16" t="s">
        <v>1965</v>
      </c>
      <c r="L88" s="16" t="s">
        <v>15</v>
      </c>
      <c r="M88" s="16" t="s">
        <v>1966</v>
      </c>
      <c r="N88" s="16"/>
      <c r="O88" s="16"/>
    </row>
    <row r="89" spans="1:15" x14ac:dyDescent="0.3">
      <c r="A89" s="16">
        <v>88</v>
      </c>
      <c r="B89" s="16" t="s">
        <v>1641</v>
      </c>
      <c r="C89" s="16" t="str">
        <f>"V1836246974001"</f>
        <v>V1836246974001</v>
      </c>
      <c r="D89" s="16" t="s">
        <v>1967</v>
      </c>
      <c r="E89" s="16" t="s">
        <v>1912</v>
      </c>
      <c r="F89" s="21" t="s">
        <v>1913</v>
      </c>
      <c r="G89" s="16" t="s">
        <v>1714</v>
      </c>
      <c r="H89" s="16" t="s">
        <v>13</v>
      </c>
      <c r="I89" s="16">
        <v>2012</v>
      </c>
      <c r="J89" s="16" t="s">
        <v>1968</v>
      </c>
      <c r="K89" s="16" t="s">
        <v>1969</v>
      </c>
      <c r="L89" s="16" t="s">
        <v>15</v>
      </c>
      <c r="M89" s="16" t="s">
        <v>1970</v>
      </c>
      <c r="N89" s="16"/>
      <c r="O89" s="16"/>
    </row>
    <row r="90" spans="1:15" x14ac:dyDescent="0.3">
      <c r="A90" s="16">
        <v>89</v>
      </c>
      <c r="B90" s="16" t="s">
        <v>1641</v>
      </c>
      <c r="C90" s="16" t="str">
        <f>"V1836246976001"</f>
        <v>V1836246976001</v>
      </c>
      <c r="D90" s="16" t="s">
        <v>1971</v>
      </c>
      <c r="E90" s="16" t="s">
        <v>1912</v>
      </c>
      <c r="F90" s="21" t="s">
        <v>1913</v>
      </c>
      <c r="G90" s="16" t="s">
        <v>1686</v>
      </c>
      <c r="H90" s="16" t="s">
        <v>13</v>
      </c>
      <c r="I90" s="16">
        <v>2012</v>
      </c>
      <c r="J90" s="16" t="s">
        <v>1972</v>
      </c>
      <c r="K90" s="16" t="s">
        <v>1973</v>
      </c>
      <c r="L90" s="16" t="s">
        <v>15</v>
      </c>
      <c r="M90" s="16" t="s">
        <v>1974</v>
      </c>
      <c r="N90" s="16"/>
      <c r="O90" s="16"/>
    </row>
    <row r="91" spans="1:15" x14ac:dyDescent="0.3">
      <c r="A91" s="16">
        <v>90</v>
      </c>
      <c r="B91" s="16" t="s">
        <v>1641</v>
      </c>
      <c r="C91" s="16" t="str">
        <f>"V1836246978001"</f>
        <v>V1836246978001</v>
      </c>
      <c r="D91" s="16" t="s">
        <v>1975</v>
      </c>
      <c r="E91" s="16" t="s">
        <v>1912</v>
      </c>
      <c r="F91" s="21" t="s">
        <v>1913</v>
      </c>
      <c r="G91" s="16" t="s">
        <v>1686</v>
      </c>
      <c r="H91" s="16" t="s">
        <v>13</v>
      </c>
      <c r="I91" s="16">
        <v>2012</v>
      </c>
      <c r="J91" s="16" t="s">
        <v>1976</v>
      </c>
      <c r="K91" s="16" t="s">
        <v>1977</v>
      </c>
      <c r="L91" s="16" t="s">
        <v>15</v>
      </c>
      <c r="M91" s="16" t="s">
        <v>1978</v>
      </c>
      <c r="N91" s="16"/>
      <c r="O91" s="16"/>
    </row>
    <row r="92" spans="1:15" x14ac:dyDescent="0.3">
      <c r="A92" s="16">
        <v>91</v>
      </c>
      <c r="B92" s="16" t="s">
        <v>1641</v>
      </c>
      <c r="C92" s="16" t="str">
        <f>"V1836246981001"</f>
        <v>V1836246981001</v>
      </c>
      <c r="D92" s="16" t="s">
        <v>1979</v>
      </c>
      <c r="E92" s="16" t="s">
        <v>1912</v>
      </c>
      <c r="F92" s="21" t="s">
        <v>1913</v>
      </c>
      <c r="G92" s="16" t="s">
        <v>1714</v>
      </c>
      <c r="H92" s="16" t="s">
        <v>13</v>
      </c>
      <c r="I92" s="16">
        <v>2012</v>
      </c>
      <c r="J92" s="16" t="s">
        <v>1980</v>
      </c>
      <c r="K92" s="16" t="s">
        <v>1117</v>
      </c>
      <c r="L92" s="16" t="s">
        <v>15</v>
      </c>
      <c r="M92" s="16" t="s">
        <v>1981</v>
      </c>
      <c r="N92" s="16"/>
      <c r="O92" s="16"/>
    </row>
    <row r="93" spans="1:15" x14ac:dyDescent="0.3">
      <c r="A93" s="16">
        <v>92</v>
      </c>
      <c r="B93" s="16" t="s">
        <v>1641</v>
      </c>
      <c r="C93" s="16" t="str">
        <f>"V1836246984001"</f>
        <v>V1836246984001</v>
      </c>
      <c r="D93" s="16" t="s">
        <v>1982</v>
      </c>
      <c r="E93" s="16" t="s">
        <v>1912</v>
      </c>
      <c r="F93" s="21" t="s">
        <v>1913</v>
      </c>
      <c r="G93" s="16" t="s">
        <v>1714</v>
      </c>
      <c r="H93" s="16" t="s">
        <v>13</v>
      </c>
      <c r="I93" s="16">
        <v>2012</v>
      </c>
      <c r="J93" s="16" t="s">
        <v>1983</v>
      </c>
      <c r="K93" s="16" t="s">
        <v>1117</v>
      </c>
      <c r="L93" s="16" t="s">
        <v>15</v>
      </c>
      <c r="M93" s="16" t="s">
        <v>1984</v>
      </c>
      <c r="N93" s="16"/>
      <c r="O93" s="16"/>
    </row>
    <row r="94" spans="1:15" x14ac:dyDescent="0.3">
      <c r="A94" s="16">
        <v>93</v>
      </c>
      <c r="B94" s="16" t="s">
        <v>1641</v>
      </c>
      <c r="C94" s="16" t="str">
        <f>"V1836246987001"</f>
        <v>V1836246987001</v>
      </c>
      <c r="D94" s="16" t="s">
        <v>1985</v>
      </c>
      <c r="E94" s="16" t="s">
        <v>1912</v>
      </c>
      <c r="F94" s="21" t="s">
        <v>1913</v>
      </c>
      <c r="G94" s="16" t="s">
        <v>1714</v>
      </c>
      <c r="H94" s="16" t="s">
        <v>13</v>
      </c>
      <c r="I94" s="16">
        <v>2012</v>
      </c>
      <c r="J94" s="16" t="s">
        <v>1986</v>
      </c>
      <c r="K94" s="16" t="s">
        <v>1987</v>
      </c>
      <c r="L94" s="16" t="s">
        <v>15</v>
      </c>
      <c r="M94" s="16" t="s">
        <v>1988</v>
      </c>
      <c r="N94" s="16"/>
      <c r="O94" s="16"/>
    </row>
    <row r="95" spans="1:15" x14ac:dyDescent="0.3">
      <c r="A95" s="16">
        <v>94</v>
      </c>
      <c r="B95" s="16" t="s">
        <v>1641</v>
      </c>
      <c r="C95" s="16" t="str">
        <f>"V1836246988001"</f>
        <v>V1836246988001</v>
      </c>
      <c r="D95" s="16" t="s">
        <v>1989</v>
      </c>
      <c r="E95" s="16" t="s">
        <v>1912</v>
      </c>
      <c r="F95" s="21" t="s">
        <v>1913</v>
      </c>
      <c r="G95" s="16" t="s">
        <v>1714</v>
      </c>
      <c r="H95" s="16" t="s">
        <v>13</v>
      </c>
      <c r="I95" s="16">
        <v>2012</v>
      </c>
      <c r="J95" s="16" t="s">
        <v>1990</v>
      </c>
      <c r="K95" s="16" t="s">
        <v>1991</v>
      </c>
      <c r="L95" s="16" t="s">
        <v>15</v>
      </c>
      <c r="M95" s="16" t="s">
        <v>1992</v>
      </c>
      <c r="N95" s="16"/>
      <c r="O95" s="16"/>
    </row>
    <row r="96" spans="1:15" x14ac:dyDescent="0.3">
      <c r="A96" s="16">
        <v>95</v>
      </c>
      <c r="B96" s="16" t="s">
        <v>1641</v>
      </c>
      <c r="C96" s="16" t="str">
        <f>"V1836395699001"</f>
        <v>V1836395699001</v>
      </c>
      <c r="D96" s="16" t="s">
        <v>1993</v>
      </c>
      <c r="E96" s="16" t="s">
        <v>1912</v>
      </c>
      <c r="F96" s="21" t="s">
        <v>1913</v>
      </c>
      <c r="G96" s="16" t="s">
        <v>1714</v>
      </c>
      <c r="H96" s="16" t="s">
        <v>13</v>
      </c>
      <c r="I96" s="16">
        <v>2012</v>
      </c>
      <c r="J96" s="16" t="s">
        <v>1994</v>
      </c>
      <c r="K96" s="16" t="s">
        <v>1786</v>
      </c>
      <c r="L96" s="16" t="s">
        <v>15</v>
      </c>
      <c r="M96" s="16" t="s">
        <v>1995</v>
      </c>
      <c r="N96" s="16"/>
      <c r="O96" s="16"/>
    </row>
    <row r="97" spans="1:15" x14ac:dyDescent="0.3">
      <c r="A97" s="16">
        <v>96</v>
      </c>
      <c r="B97" s="16" t="s">
        <v>1641</v>
      </c>
      <c r="C97" s="16" t="str">
        <f>"V1836403149001"</f>
        <v>V1836403149001</v>
      </c>
      <c r="D97" s="16" t="s">
        <v>1996</v>
      </c>
      <c r="E97" s="16" t="s">
        <v>1912</v>
      </c>
      <c r="F97" s="21" t="s">
        <v>1913</v>
      </c>
      <c r="G97" s="16" t="s">
        <v>1714</v>
      </c>
      <c r="H97" s="16" t="s">
        <v>13</v>
      </c>
      <c r="I97" s="16">
        <v>2012</v>
      </c>
      <c r="J97" s="16" t="s">
        <v>1997</v>
      </c>
      <c r="K97" s="16" t="s">
        <v>1786</v>
      </c>
      <c r="L97" s="16" t="s">
        <v>15</v>
      </c>
      <c r="M97" s="16" t="s">
        <v>1998</v>
      </c>
      <c r="N97" s="16"/>
      <c r="O97" s="16"/>
    </row>
    <row r="98" spans="1:15" x14ac:dyDescent="0.3">
      <c r="A98" s="16">
        <v>97</v>
      </c>
      <c r="B98" s="16" t="s">
        <v>1641</v>
      </c>
      <c r="C98" s="16" t="str">
        <f>"V1836413537001"</f>
        <v>V1836413537001</v>
      </c>
      <c r="D98" s="16" t="s">
        <v>1999</v>
      </c>
      <c r="E98" s="16" t="s">
        <v>1912</v>
      </c>
      <c r="F98" s="21" t="s">
        <v>1913</v>
      </c>
      <c r="G98" s="16" t="s">
        <v>1714</v>
      </c>
      <c r="H98" s="16" t="s">
        <v>13</v>
      </c>
      <c r="I98" s="16">
        <v>2012</v>
      </c>
      <c r="J98" s="16" t="s">
        <v>2000</v>
      </c>
      <c r="K98" s="16" t="s">
        <v>2001</v>
      </c>
      <c r="L98" s="16" t="s">
        <v>15</v>
      </c>
      <c r="M98" s="16" t="s">
        <v>2002</v>
      </c>
      <c r="N98" s="16"/>
      <c r="O98" s="16"/>
    </row>
    <row r="99" spans="1:15" x14ac:dyDescent="0.3">
      <c r="A99" s="16">
        <v>98</v>
      </c>
      <c r="B99" s="16" t="s">
        <v>1641</v>
      </c>
      <c r="C99" s="16" t="str">
        <f>"V1836413539001"</f>
        <v>V1836413539001</v>
      </c>
      <c r="D99" s="16" t="s">
        <v>2003</v>
      </c>
      <c r="E99" s="16" t="s">
        <v>1912</v>
      </c>
      <c r="F99" s="21" t="s">
        <v>1913</v>
      </c>
      <c r="G99" s="16" t="s">
        <v>1714</v>
      </c>
      <c r="H99" s="16" t="s">
        <v>13</v>
      </c>
      <c r="I99" s="16">
        <v>2012</v>
      </c>
      <c r="J99" s="16" t="s">
        <v>2004</v>
      </c>
      <c r="K99" s="16" t="s">
        <v>1954</v>
      </c>
      <c r="L99" s="16" t="s">
        <v>15</v>
      </c>
      <c r="M99" s="16" t="s">
        <v>2005</v>
      </c>
      <c r="N99" s="16"/>
      <c r="O99" s="16"/>
    </row>
    <row r="100" spans="1:15" x14ac:dyDescent="0.3">
      <c r="A100" s="16">
        <v>99</v>
      </c>
      <c r="B100" s="16" t="s">
        <v>1641</v>
      </c>
      <c r="C100" s="16" t="str">
        <f>"V1836413540001"</f>
        <v>V1836413540001</v>
      </c>
      <c r="D100" s="16" t="s">
        <v>2006</v>
      </c>
      <c r="E100" s="16" t="s">
        <v>1912</v>
      </c>
      <c r="F100" s="21" t="s">
        <v>1913</v>
      </c>
      <c r="G100" s="16" t="s">
        <v>1714</v>
      </c>
      <c r="H100" s="16" t="s">
        <v>13</v>
      </c>
      <c r="I100" s="16">
        <v>2012</v>
      </c>
      <c r="J100" s="16" t="s">
        <v>2007</v>
      </c>
      <c r="K100" s="16" t="s">
        <v>1940</v>
      </c>
      <c r="L100" s="16" t="s">
        <v>15</v>
      </c>
      <c r="M100" s="16" t="s">
        <v>2008</v>
      </c>
      <c r="N100" s="16"/>
      <c r="O100" s="16"/>
    </row>
    <row r="101" spans="1:15" x14ac:dyDescent="0.3">
      <c r="A101" s="16">
        <v>100</v>
      </c>
      <c r="B101" s="16" t="s">
        <v>1641</v>
      </c>
      <c r="C101" s="16" t="str">
        <f>"V1838563025001"</f>
        <v>V1838563025001</v>
      </c>
      <c r="D101" s="16" t="s">
        <v>2009</v>
      </c>
      <c r="E101" s="16" t="s">
        <v>1912</v>
      </c>
      <c r="F101" s="21" t="s">
        <v>1913</v>
      </c>
      <c r="G101" s="16" t="s">
        <v>1686</v>
      </c>
      <c r="H101" s="16" t="s">
        <v>13</v>
      </c>
      <c r="I101" s="16">
        <v>2012</v>
      </c>
      <c r="J101" s="16" t="s">
        <v>2010</v>
      </c>
      <c r="K101" s="16" t="s">
        <v>2011</v>
      </c>
      <c r="L101" s="16" t="s">
        <v>15</v>
      </c>
      <c r="M101" s="16" t="s">
        <v>2012</v>
      </c>
      <c r="N101" s="16"/>
      <c r="O101" s="16"/>
    </row>
    <row r="102" spans="1:15" x14ac:dyDescent="0.3">
      <c r="A102" s="16">
        <v>101</v>
      </c>
      <c r="B102" s="16" t="s">
        <v>1641</v>
      </c>
      <c r="C102" s="16" t="str">
        <f>"V1838565654001"</f>
        <v>V1838565654001</v>
      </c>
      <c r="D102" s="16" t="s">
        <v>2013</v>
      </c>
      <c r="E102" s="16" t="s">
        <v>1912</v>
      </c>
      <c r="F102" s="21" t="s">
        <v>1913</v>
      </c>
      <c r="G102" s="16" t="s">
        <v>1686</v>
      </c>
      <c r="H102" s="16" t="s">
        <v>13</v>
      </c>
      <c r="I102" s="16">
        <v>2012</v>
      </c>
      <c r="J102" s="16" t="s">
        <v>2014</v>
      </c>
      <c r="K102" s="16" t="s">
        <v>2015</v>
      </c>
      <c r="L102" s="16" t="s">
        <v>15</v>
      </c>
      <c r="M102" s="16" t="s">
        <v>2016</v>
      </c>
      <c r="N102" s="16"/>
      <c r="O102" s="16"/>
    </row>
    <row r="103" spans="1:15" x14ac:dyDescent="0.3">
      <c r="A103" s="16">
        <v>102</v>
      </c>
      <c r="B103" s="16" t="s">
        <v>1641</v>
      </c>
      <c r="C103" s="16" t="str">
        <f>"V1840957023001"</f>
        <v>V1840957023001</v>
      </c>
      <c r="D103" s="16" t="s">
        <v>2017</v>
      </c>
      <c r="E103" s="16" t="s">
        <v>1912</v>
      </c>
      <c r="F103" s="21" t="s">
        <v>1913</v>
      </c>
      <c r="G103" s="16" t="s">
        <v>1714</v>
      </c>
      <c r="H103" s="16" t="s">
        <v>13</v>
      </c>
      <c r="I103" s="16">
        <v>2012</v>
      </c>
      <c r="J103" s="16" t="s">
        <v>2018</v>
      </c>
      <c r="K103" s="16" t="s">
        <v>1954</v>
      </c>
      <c r="L103" s="16" t="s">
        <v>15</v>
      </c>
      <c r="M103" s="16" t="s">
        <v>2019</v>
      </c>
      <c r="N103" s="16"/>
      <c r="O103" s="16"/>
    </row>
    <row r="104" spans="1:15" x14ac:dyDescent="0.3">
      <c r="A104" s="16">
        <v>103</v>
      </c>
      <c r="B104" s="16" t="s">
        <v>1641</v>
      </c>
      <c r="C104" s="16" t="str">
        <f>"V1873289102001"</f>
        <v>V1873289102001</v>
      </c>
      <c r="D104" s="16" t="s">
        <v>2020</v>
      </c>
      <c r="E104" s="16" t="s">
        <v>2021</v>
      </c>
      <c r="F104" s="21">
        <v>9780071384216</v>
      </c>
      <c r="G104" s="16" t="s">
        <v>2022</v>
      </c>
      <c r="H104" s="16" t="s">
        <v>13</v>
      </c>
      <c r="I104" s="16">
        <v>2012</v>
      </c>
      <c r="J104" s="16" t="s">
        <v>2023</v>
      </c>
      <c r="K104" s="16" t="s">
        <v>2024</v>
      </c>
      <c r="L104" s="16" t="s">
        <v>15</v>
      </c>
      <c r="M104" s="16" t="s">
        <v>2025</v>
      </c>
      <c r="N104" s="16"/>
      <c r="O104" s="16"/>
    </row>
    <row r="105" spans="1:15" x14ac:dyDescent="0.3">
      <c r="A105" s="16">
        <v>104</v>
      </c>
      <c r="B105" s="16" t="s">
        <v>1641</v>
      </c>
      <c r="C105" s="16" t="str">
        <f>"V1873289103001"</f>
        <v>V1873289103001</v>
      </c>
      <c r="D105" s="16" t="s">
        <v>2026</v>
      </c>
      <c r="E105" s="16" t="s">
        <v>2021</v>
      </c>
      <c r="F105" s="21">
        <v>9780071384216</v>
      </c>
      <c r="G105" s="16" t="s">
        <v>2022</v>
      </c>
      <c r="H105" s="16" t="s">
        <v>13</v>
      </c>
      <c r="I105" s="16">
        <v>2012</v>
      </c>
      <c r="J105" s="16" t="s">
        <v>2027</v>
      </c>
      <c r="K105" s="16" t="s">
        <v>2028</v>
      </c>
      <c r="L105" s="16" t="s">
        <v>15</v>
      </c>
      <c r="M105" s="16" t="s">
        <v>2029</v>
      </c>
      <c r="N105" s="16"/>
      <c r="O105" s="16"/>
    </row>
    <row r="106" spans="1:15" x14ac:dyDescent="0.3">
      <c r="A106" s="16">
        <v>105</v>
      </c>
      <c r="B106" s="16" t="s">
        <v>1641</v>
      </c>
      <c r="C106" s="16" t="str">
        <f>"V1873289106001"</f>
        <v>V1873289106001</v>
      </c>
      <c r="D106" s="16" t="s">
        <v>2030</v>
      </c>
      <c r="E106" s="16" t="s">
        <v>2021</v>
      </c>
      <c r="F106" s="21">
        <v>9780071384216</v>
      </c>
      <c r="G106" s="16" t="s">
        <v>2022</v>
      </c>
      <c r="H106" s="16" t="s">
        <v>13</v>
      </c>
      <c r="I106" s="16">
        <v>2012</v>
      </c>
      <c r="J106" s="16" t="s">
        <v>2031</v>
      </c>
      <c r="K106" s="16" t="s">
        <v>2024</v>
      </c>
      <c r="L106" s="16" t="s">
        <v>15</v>
      </c>
      <c r="M106" s="16" t="s">
        <v>2032</v>
      </c>
      <c r="N106" s="16"/>
      <c r="O106" s="16"/>
    </row>
    <row r="107" spans="1:15" x14ac:dyDescent="0.3">
      <c r="A107" s="16">
        <v>106</v>
      </c>
      <c r="B107" s="16" t="s">
        <v>1641</v>
      </c>
      <c r="C107" s="16" t="str">
        <f>"V1873289109001"</f>
        <v>V1873289109001</v>
      </c>
      <c r="D107" s="16" t="s">
        <v>2033</v>
      </c>
      <c r="E107" s="16" t="s">
        <v>2021</v>
      </c>
      <c r="F107" s="21">
        <v>9780071384216</v>
      </c>
      <c r="G107" s="16" t="s">
        <v>2022</v>
      </c>
      <c r="H107" s="16" t="s">
        <v>13</v>
      </c>
      <c r="I107" s="16">
        <v>2012</v>
      </c>
      <c r="J107" s="16" t="s">
        <v>2034</v>
      </c>
      <c r="K107" s="16" t="s">
        <v>2024</v>
      </c>
      <c r="L107" s="16" t="s">
        <v>15</v>
      </c>
      <c r="M107" s="16" t="s">
        <v>2035</v>
      </c>
      <c r="N107" s="16"/>
      <c r="O107" s="16"/>
    </row>
    <row r="108" spans="1:15" x14ac:dyDescent="0.3">
      <c r="A108" s="16">
        <v>107</v>
      </c>
      <c r="B108" s="16" t="s">
        <v>1641</v>
      </c>
      <c r="C108" s="16" t="str">
        <f>"V1873289111001"</f>
        <v>V1873289111001</v>
      </c>
      <c r="D108" s="16" t="s">
        <v>2036</v>
      </c>
      <c r="E108" s="16" t="s">
        <v>2021</v>
      </c>
      <c r="F108" s="21">
        <v>9780071384216</v>
      </c>
      <c r="G108" s="16" t="s">
        <v>2022</v>
      </c>
      <c r="H108" s="16" t="s">
        <v>13</v>
      </c>
      <c r="I108" s="16">
        <v>2012</v>
      </c>
      <c r="J108" s="16" t="s">
        <v>2037</v>
      </c>
      <c r="K108" s="16" t="s">
        <v>2038</v>
      </c>
      <c r="L108" s="16" t="s">
        <v>15</v>
      </c>
      <c r="M108" s="16" t="s">
        <v>2039</v>
      </c>
      <c r="N108" s="16"/>
      <c r="O108" s="16"/>
    </row>
    <row r="109" spans="1:15" x14ac:dyDescent="0.3">
      <c r="A109" s="16">
        <v>108</v>
      </c>
      <c r="B109" s="16" t="s">
        <v>1641</v>
      </c>
      <c r="C109" s="16" t="str">
        <f>"V1873289115001"</f>
        <v>V1873289115001</v>
      </c>
      <c r="D109" s="16" t="s">
        <v>2040</v>
      </c>
      <c r="E109" s="16" t="s">
        <v>2021</v>
      </c>
      <c r="F109" s="21">
        <v>9780071384216</v>
      </c>
      <c r="G109" s="16" t="s">
        <v>2022</v>
      </c>
      <c r="H109" s="16" t="s">
        <v>13</v>
      </c>
      <c r="I109" s="16">
        <v>2012</v>
      </c>
      <c r="J109" s="16" t="s">
        <v>2041</v>
      </c>
      <c r="K109" s="16" t="s">
        <v>2042</v>
      </c>
      <c r="L109" s="16" t="s">
        <v>15</v>
      </c>
      <c r="M109" s="16" t="s">
        <v>2043</v>
      </c>
      <c r="N109" s="16"/>
      <c r="O109" s="16"/>
    </row>
    <row r="110" spans="1:15" x14ac:dyDescent="0.3">
      <c r="A110" s="16">
        <v>109</v>
      </c>
      <c r="B110" s="16" t="s">
        <v>1641</v>
      </c>
      <c r="C110" s="16" t="str">
        <f>"V1873312999001"</f>
        <v>V1873312999001</v>
      </c>
      <c r="D110" s="16" t="s">
        <v>2044</v>
      </c>
      <c r="E110" s="16" t="s">
        <v>2021</v>
      </c>
      <c r="F110" s="21">
        <v>9780071384216</v>
      </c>
      <c r="G110" s="16" t="s">
        <v>2022</v>
      </c>
      <c r="H110" s="16" t="s">
        <v>13</v>
      </c>
      <c r="I110" s="16">
        <v>2012</v>
      </c>
      <c r="J110" s="16" t="s">
        <v>2045</v>
      </c>
      <c r="K110" s="16" t="s">
        <v>2046</v>
      </c>
      <c r="L110" s="16" t="s">
        <v>15</v>
      </c>
      <c r="M110" s="16" t="s">
        <v>2047</v>
      </c>
      <c r="N110" s="16"/>
      <c r="O110" s="16"/>
    </row>
    <row r="111" spans="1:15" x14ac:dyDescent="0.3">
      <c r="A111" s="16">
        <v>110</v>
      </c>
      <c r="B111" s="16" t="s">
        <v>1641</v>
      </c>
      <c r="C111" s="16" t="str">
        <f>"V1873313000001"</f>
        <v>V1873313000001</v>
      </c>
      <c r="D111" s="16" t="s">
        <v>2048</v>
      </c>
      <c r="E111" s="16" t="s">
        <v>2021</v>
      </c>
      <c r="F111" s="21">
        <v>9780071384216</v>
      </c>
      <c r="G111" s="16" t="s">
        <v>2022</v>
      </c>
      <c r="H111" s="16" t="s">
        <v>13</v>
      </c>
      <c r="I111" s="16">
        <v>2012</v>
      </c>
      <c r="J111" s="16" t="s">
        <v>2049</v>
      </c>
      <c r="K111" s="16" t="s">
        <v>2050</v>
      </c>
      <c r="L111" s="16" t="s">
        <v>15</v>
      </c>
      <c r="M111" s="16" t="s">
        <v>2051</v>
      </c>
      <c r="N111" s="16"/>
      <c r="O111" s="16"/>
    </row>
    <row r="112" spans="1:15" x14ac:dyDescent="0.3">
      <c r="A112" s="16">
        <v>111</v>
      </c>
      <c r="B112" s="16" t="s">
        <v>1641</v>
      </c>
      <c r="C112" s="16" t="str">
        <f>"V1873313002001"</f>
        <v>V1873313002001</v>
      </c>
      <c r="D112" s="16" t="s">
        <v>2052</v>
      </c>
      <c r="E112" s="16" t="s">
        <v>2021</v>
      </c>
      <c r="F112" s="21">
        <v>9780071384216</v>
      </c>
      <c r="G112" s="16" t="s">
        <v>2022</v>
      </c>
      <c r="H112" s="16" t="s">
        <v>13</v>
      </c>
      <c r="I112" s="16">
        <v>2012</v>
      </c>
      <c r="J112" s="16" t="s">
        <v>2053</v>
      </c>
      <c r="K112" s="16" t="s">
        <v>54</v>
      </c>
      <c r="L112" s="16" t="s">
        <v>15</v>
      </c>
      <c r="M112" s="16" t="s">
        <v>2054</v>
      </c>
      <c r="N112" s="16"/>
      <c r="O112" s="16"/>
    </row>
    <row r="113" spans="1:15" x14ac:dyDescent="0.3">
      <c r="A113" s="16">
        <v>112</v>
      </c>
      <c r="B113" s="16" t="s">
        <v>1641</v>
      </c>
      <c r="C113" s="16" t="str">
        <f>"V1873313005001"</f>
        <v>V1873313005001</v>
      </c>
      <c r="D113" s="16" t="s">
        <v>2055</v>
      </c>
      <c r="E113" s="16" t="s">
        <v>2021</v>
      </c>
      <c r="F113" s="21">
        <v>9780071384216</v>
      </c>
      <c r="G113" s="16" t="s">
        <v>2022</v>
      </c>
      <c r="H113" s="16" t="s">
        <v>13</v>
      </c>
      <c r="I113" s="16">
        <v>2012</v>
      </c>
      <c r="J113" s="16" t="s">
        <v>2056</v>
      </c>
      <c r="K113" s="16" t="s">
        <v>2024</v>
      </c>
      <c r="L113" s="16" t="s">
        <v>15</v>
      </c>
      <c r="M113" s="16" t="s">
        <v>2057</v>
      </c>
      <c r="N113" s="16"/>
      <c r="O113" s="16"/>
    </row>
    <row r="114" spans="1:15" x14ac:dyDescent="0.3">
      <c r="A114" s="16">
        <v>113</v>
      </c>
      <c r="B114" s="16" t="s">
        <v>1641</v>
      </c>
      <c r="C114" s="16" t="str">
        <f>"V1873313008001"</f>
        <v>V1873313008001</v>
      </c>
      <c r="D114" s="16" t="s">
        <v>2058</v>
      </c>
      <c r="E114" s="16" t="s">
        <v>2021</v>
      </c>
      <c r="F114" s="21">
        <v>9780071384216</v>
      </c>
      <c r="G114" s="16" t="s">
        <v>2022</v>
      </c>
      <c r="H114" s="16" t="s">
        <v>13</v>
      </c>
      <c r="I114" s="16">
        <v>2012</v>
      </c>
      <c r="J114" s="16" t="s">
        <v>2059</v>
      </c>
      <c r="K114" s="16" t="s">
        <v>2060</v>
      </c>
      <c r="L114" s="16" t="s">
        <v>15</v>
      </c>
      <c r="M114" s="16" t="s">
        <v>2061</v>
      </c>
      <c r="N114" s="16"/>
      <c r="O114" s="16"/>
    </row>
    <row r="115" spans="1:15" x14ac:dyDescent="0.3">
      <c r="A115" s="16">
        <v>114</v>
      </c>
      <c r="B115" s="16" t="s">
        <v>1641</v>
      </c>
      <c r="C115" s="16" t="str">
        <f>"V1873313012001"</f>
        <v>V1873313012001</v>
      </c>
      <c r="D115" s="16" t="s">
        <v>2062</v>
      </c>
      <c r="E115" s="16" t="s">
        <v>2021</v>
      </c>
      <c r="F115" s="21">
        <v>9780071384216</v>
      </c>
      <c r="G115" s="16" t="s">
        <v>2022</v>
      </c>
      <c r="H115" s="16" t="s">
        <v>13</v>
      </c>
      <c r="I115" s="16">
        <v>2012</v>
      </c>
      <c r="J115" s="16" t="s">
        <v>2063</v>
      </c>
      <c r="K115" s="16" t="s">
        <v>2064</v>
      </c>
      <c r="L115" s="16" t="s">
        <v>15</v>
      </c>
      <c r="M115" s="16" t="s">
        <v>2065</v>
      </c>
      <c r="N115" s="16"/>
      <c r="O115" s="16"/>
    </row>
    <row r="116" spans="1:15" x14ac:dyDescent="0.3">
      <c r="A116" s="16">
        <v>115</v>
      </c>
      <c r="B116" s="16" t="s">
        <v>1641</v>
      </c>
      <c r="C116" s="16" t="str">
        <f>"V1873313016001"</f>
        <v>V1873313016001</v>
      </c>
      <c r="D116" s="16" t="s">
        <v>2066</v>
      </c>
      <c r="E116" s="16" t="s">
        <v>2021</v>
      </c>
      <c r="F116" s="21">
        <v>9780071384216</v>
      </c>
      <c r="G116" s="16" t="s">
        <v>2022</v>
      </c>
      <c r="H116" s="16" t="s">
        <v>13</v>
      </c>
      <c r="I116" s="16">
        <v>2012</v>
      </c>
      <c r="J116" s="16" t="s">
        <v>2067</v>
      </c>
      <c r="K116" s="16" t="s">
        <v>2068</v>
      </c>
      <c r="L116" s="16" t="s">
        <v>15</v>
      </c>
      <c r="M116" s="16" t="s">
        <v>2069</v>
      </c>
      <c r="N116" s="16"/>
      <c r="O116" s="16"/>
    </row>
    <row r="117" spans="1:15" x14ac:dyDescent="0.3">
      <c r="A117" s="16">
        <v>116</v>
      </c>
      <c r="B117" s="16" t="s">
        <v>1641</v>
      </c>
      <c r="C117" s="16" t="str">
        <f>"V1873326699001"</f>
        <v>V1873326699001</v>
      </c>
      <c r="D117" s="16" t="s">
        <v>2070</v>
      </c>
      <c r="E117" s="16" t="s">
        <v>2021</v>
      </c>
      <c r="F117" s="21">
        <v>9780071384216</v>
      </c>
      <c r="G117" s="16" t="s">
        <v>2022</v>
      </c>
      <c r="H117" s="16" t="s">
        <v>13</v>
      </c>
      <c r="I117" s="16">
        <v>2012</v>
      </c>
      <c r="J117" s="16" t="s">
        <v>2071</v>
      </c>
      <c r="K117" s="16" t="s">
        <v>2072</v>
      </c>
      <c r="L117" s="16" t="s">
        <v>15</v>
      </c>
      <c r="M117" s="16" t="s">
        <v>2073</v>
      </c>
      <c r="N117" s="16"/>
      <c r="O117" s="16"/>
    </row>
    <row r="118" spans="1:15" x14ac:dyDescent="0.3">
      <c r="A118" s="16">
        <v>117</v>
      </c>
      <c r="B118" s="16" t="s">
        <v>1641</v>
      </c>
      <c r="C118" s="16" t="str">
        <f>"V1873326704001"</f>
        <v>V1873326704001</v>
      </c>
      <c r="D118" s="16" t="s">
        <v>2074</v>
      </c>
      <c r="E118" s="16" t="s">
        <v>2021</v>
      </c>
      <c r="F118" s="21">
        <v>9780071384216</v>
      </c>
      <c r="G118" s="16" t="s">
        <v>2022</v>
      </c>
      <c r="H118" s="16" t="s">
        <v>13</v>
      </c>
      <c r="I118" s="16">
        <v>2012</v>
      </c>
      <c r="J118" s="16" t="s">
        <v>2075</v>
      </c>
      <c r="K118" s="16" t="s">
        <v>2050</v>
      </c>
      <c r="L118" s="16" t="s">
        <v>15</v>
      </c>
      <c r="M118" s="16" t="s">
        <v>2076</v>
      </c>
      <c r="N118" s="16"/>
      <c r="O118" s="16"/>
    </row>
    <row r="119" spans="1:15" x14ac:dyDescent="0.3">
      <c r="A119" s="16">
        <v>118</v>
      </c>
      <c r="B119" s="16" t="s">
        <v>1641</v>
      </c>
      <c r="C119" s="16" t="str">
        <f>"V1873326711001"</f>
        <v>V1873326711001</v>
      </c>
      <c r="D119" s="16" t="s">
        <v>2077</v>
      </c>
      <c r="E119" s="16" t="s">
        <v>2021</v>
      </c>
      <c r="F119" s="21">
        <v>9780071384216</v>
      </c>
      <c r="G119" s="16" t="s">
        <v>2022</v>
      </c>
      <c r="H119" s="16" t="s">
        <v>13</v>
      </c>
      <c r="I119" s="16">
        <v>2012</v>
      </c>
      <c r="J119" s="16" t="s">
        <v>2078</v>
      </c>
      <c r="K119" s="16" t="s">
        <v>2060</v>
      </c>
      <c r="L119" s="16" t="s">
        <v>15</v>
      </c>
      <c r="M119" s="16" t="s">
        <v>2079</v>
      </c>
      <c r="N119" s="16"/>
      <c r="O119" s="16"/>
    </row>
    <row r="120" spans="1:15" x14ac:dyDescent="0.3">
      <c r="A120" s="16">
        <v>119</v>
      </c>
      <c r="B120" s="16" t="s">
        <v>1641</v>
      </c>
      <c r="C120" s="16" t="str">
        <f>"V1873326714001"</f>
        <v>V1873326714001</v>
      </c>
      <c r="D120" s="16" t="s">
        <v>2080</v>
      </c>
      <c r="E120" s="16" t="s">
        <v>2021</v>
      </c>
      <c r="F120" s="21">
        <v>9780071384216</v>
      </c>
      <c r="G120" s="16" t="s">
        <v>2022</v>
      </c>
      <c r="H120" s="16" t="s">
        <v>13</v>
      </c>
      <c r="I120" s="16">
        <v>2012</v>
      </c>
      <c r="J120" s="16" t="s">
        <v>2081</v>
      </c>
      <c r="K120" s="16" t="s">
        <v>2082</v>
      </c>
      <c r="L120" s="16" t="s">
        <v>15</v>
      </c>
      <c r="M120" s="16" t="s">
        <v>2083</v>
      </c>
      <c r="N120" s="16"/>
      <c r="O120" s="16"/>
    </row>
    <row r="121" spans="1:15" x14ac:dyDescent="0.3">
      <c r="A121" s="16">
        <v>120</v>
      </c>
      <c r="B121" s="16" t="s">
        <v>1641</v>
      </c>
      <c r="C121" s="16" t="str">
        <f>"V1873326715001"</f>
        <v>V1873326715001</v>
      </c>
      <c r="D121" s="16" t="s">
        <v>2084</v>
      </c>
      <c r="E121" s="16" t="s">
        <v>2021</v>
      </c>
      <c r="F121" s="21">
        <v>9780071384216</v>
      </c>
      <c r="G121" s="16" t="s">
        <v>2022</v>
      </c>
      <c r="H121" s="16" t="s">
        <v>13</v>
      </c>
      <c r="I121" s="16">
        <v>2012</v>
      </c>
      <c r="J121" s="16" t="s">
        <v>2085</v>
      </c>
      <c r="K121" s="16" t="s">
        <v>2086</v>
      </c>
      <c r="L121" s="16" t="s">
        <v>15</v>
      </c>
      <c r="M121" s="16" t="s">
        <v>2087</v>
      </c>
      <c r="N121" s="16"/>
      <c r="O121" s="16"/>
    </row>
    <row r="122" spans="1:15" x14ac:dyDescent="0.3">
      <c r="A122" s="16">
        <v>121</v>
      </c>
      <c r="B122" s="16" t="s">
        <v>1641</v>
      </c>
      <c r="C122" s="16" t="str">
        <f>"V1873326722001"</f>
        <v>V1873326722001</v>
      </c>
      <c r="D122" s="16" t="s">
        <v>2088</v>
      </c>
      <c r="E122" s="16" t="s">
        <v>2021</v>
      </c>
      <c r="F122" s="21">
        <v>9780071384216</v>
      </c>
      <c r="G122" s="16" t="s">
        <v>2022</v>
      </c>
      <c r="H122" s="16" t="s">
        <v>13</v>
      </c>
      <c r="I122" s="16">
        <v>2012</v>
      </c>
      <c r="J122" s="16" t="s">
        <v>2089</v>
      </c>
      <c r="K122" s="16" t="s">
        <v>2090</v>
      </c>
      <c r="L122" s="16" t="s">
        <v>15</v>
      </c>
      <c r="M122" s="16" t="s">
        <v>2091</v>
      </c>
      <c r="N122" s="16"/>
      <c r="O122" s="16"/>
    </row>
    <row r="123" spans="1:15" x14ac:dyDescent="0.3">
      <c r="A123" s="16">
        <v>122</v>
      </c>
      <c r="B123" s="16" t="s">
        <v>1641</v>
      </c>
      <c r="C123" s="16" t="str">
        <f>"V1873340325001"</f>
        <v>V1873340325001</v>
      </c>
      <c r="D123" s="16" t="s">
        <v>2092</v>
      </c>
      <c r="E123" s="16" t="s">
        <v>2021</v>
      </c>
      <c r="F123" s="21">
        <v>9780071384216</v>
      </c>
      <c r="G123" s="16" t="s">
        <v>2022</v>
      </c>
      <c r="H123" s="16" t="s">
        <v>13</v>
      </c>
      <c r="I123" s="16">
        <v>2012</v>
      </c>
      <c r="J123" s="16" t="s">
        <v>2093</v>
      </c>
      <c r="K123" s="16" t="s">
        <v>2094</v>
      </c>
      <c r="L123" s="16" t="s">
        <v>15</v>
      </c>
      <c r="M123" s="16" t="s">
        <v>2095</v>
      </c>
      <c r="N123" s="16"/>
      <c r="O123" s="16"/>
    </row>
    <row r="124" spans="1:15" x14ac:dyDescent="0.3">
      <c r="A124" s="16">
        <v>123</v>
      </c>
      <c r="B124" s="16" t="s">
        <v>1641</v>
      </c>
      <c r="C124" s="16" t="str">
        <f>"V1902329124001"</f>
        <v>V1902329124001</v>
      </c>
      <c r="D124" s="16" t="s">
        <v>2096</v>
      </c>
      <c r="E124" s="16" t="s">
        <v>2097</v>
      </c>
      <c r="F124" s="21">
        <v>9780071795579</v>
      </c>
      <c r="G124" s="16" t="s">
        <v>2098</v>
      </c>
      <c r="H124" s="16" t="s">
        <v>13</v>
      </c>
      <c r="I124" s="16">
        <v>2011</v>
      </c>
      <c r="J124" s="16" t="s">
        <v>2099</v>
      </c>
      <c r="K124" s="16" t="s">
        <v>712</v>
      </c>
      <c r="L124" s="16" t="s">
        <v>15</v>
      </c>
      <c r="M124" s="16" t="s">
        <v>2100</v>
      </c>
      <c r="N124" s="16"/>
      <c r="O124" s="16"/>
    </row>
    <row r="125" spans="1:15" x14ac:dyDescent="0.3">
      <c r="A125" s="16">
        <v>124</v>
      </c>
      <c r="B125" s="16" t="s">
        <v>1641</v>
      </c>
      <c r="C125" s="16" t="str">
        <f>"V1902329126001"</f>
        <v>V1902329126001</v>
      </c>
      <c r="D125" s="16" t="s">
        <v>2101</v>
      </c>
      <c r="E125" s="16" t="s">
        <v>2097</v>
      </c>
      <c r="F125" s="21">
        <v>9780071795579</v>
      </c>
      <c r="G125" s="16" t="s">
        <v>2098</v>
      </c>
      <c r="H125" s="16" t="s">
        <v>13</v>
      </c>
      <c r="I125" s="16">
        <v>2011</v>
      </c>
      <c r="J125" s="16" t="s">
        <v>2102</v>
      </c>
      <c r="K125" s="16" t="s">
        <v>2103</v>
      </c>
      <c r="L125" s="16" t="s">
        <v>15</v>
      </c>
      <c r="M125" s="16" t="s">
        <v>2104</v>
      </c>
      <c r="N125" s="16"/>
      <c r="O125" s="16"/>
    </row>
    <row r="126" spans="1:15" x14ac:dyDescent="0.3">
      <c r="A126" s="16">
        <v>125</v>
      </c>
      <c r="B126" s="16" t="s">
        <v>1641</v>
      </c>
      <c r="C126" s="16" t="str">
        <f>"V1902329127001"</f>
        <v>V1902329127001</v>
      </c>
      <c r="D126" s="16" t="s">
        <v>2105</v>
      </c>
      <c r="E126" s="16" t="s">
        <v>2097</v>
      </c>
      <c r="F126" s="21">
        <v>9780071795579</v>
      </c>
      <c r="G126" s="16" t="s">
        <v>2098</v>
      </c>
      <c r="H126" s="16" t="s">
        <v>13</v>
      </c>
      <c r="I126" s="16">
        <v>2011</v>
      </c>
      <c r="J126" s="16" t="s">
        <v>2106</v>
      </c>
      <c r="K126" s="16" t="s">
        <v>712</v>
      </c>
      <c r="L126" s="16" t="s">
        <v>15</v>
      </c>
      <c r="M126" s="16" t="s">
        <v>2107</v>
      </c>
      <c r="N126" s="16"/>
      <c r="O126" s="16"/>
    </row>
    <row r="127" spans="1:15" x14ac:dyDescent="0.3">
      <c r="A127" s="16">
        <v>126</v>
      </c>
      <c r="B127" s="16" t="s">
        <v>1641</v>
      </c>
      <c r="C127" s="16" t="str">
        <f>"V1902329129001"</f>
        <v>V1902329129001</v>
      </c>
      <c r="D127" s="16" t="s">
        <v>2108</v>
      </c>
      <c r="E127" s="16" t="s">
        <v>2097</v>
      </c>
      <c r="F127" s="21">
        <v>9780071795579</v>
      </c>
      <c r="G127" s="16" t="s">
        <v>2098</v>
      </c>
      <c r="H127" s="16" t="s">
        <v>13</v>
      </c>
      <c r="I127" s="16">
        <v>2011</v>
      </c>
      <c r="J127" s="16" t="s">
        <v>2109</v>
      </c>
      <c r="K127" s="16" t="s">
        <v>712</v>
      </c>
      <c r="L127" s="16" t="s">
        <v>15</v>
      </c>
      <c r="M127" s="16" t="s">
        <v>2110</v>
      </c>
      <c r="N127" s="16"/>
      <c r="O127" s="16"/>
    </row>
    <row r="128" spans="1:15" x14ac:dyDescent="0.3">
      <c r="A128" s="16">
        <v>127</v>
      </c>
      <c r="B128" s="16" t="s">
        <v>1641</v>
      </c>
      <c r="C128" s="16" t="str">
        <f>"V1902329131001"</f>
        <v>V1902329131001</v>
      </c>
      <c r="D128" s="16" t="s">
        <v>2111</v>
      </c>
      <c r="E128" s="16" t="s">
        <v>2097</v>
      </c>
      <c r="F128" s="21">
        <v>9780071795579</v>
      </c>
      <c r="G128" s="16" t="s">
        <v>2098</v>
      </c>
      <c r="H128" s="16" t="s">
        <v>13</v>
      </c>
      <c r="I128" s="16">
        <v>2011</v>
      </c>
      <c r="J128" s="16" t="s">
        <v>2112</v>
      </c>
      <c r="K128" s="16" t="s">
        <v>712</v>
      </c>
      <c r="L128" s="16" t="s">
        <v>15</v>
      </c>
      <c r="M128" s="16" t="s">
        <v>2113</v>
      </c>
      <c r="N128" s="16"/>
      <c r="O128" s="16"/>
    </row>
    <row r="129" spans="1:15" x14ac:dyDescent="0.3">
      <c r="A129" s="16">
        <v>128</v>
      </c>
      <c r="B129" s="16" t="s">
        <v>1641</v>
      </c>
      <c r="C129" s="16" t="str">
        <f>"V1902329134001"</f>
        <v>V1902329134001</v>
      </c>
      <c r="D129" s="16" t="s">
        <v>2114</v>
      </c>
      <c r="E129" s="16" t="s">
        <v>2097</v>
      </c>
      <c r="F129" s="21">
        <v>9780071795579</v>
      </c>
      <c r="G129" s="16" t="s">
        <v>2098</v>
      </c>
      <c r="H129" s="16" t="s">
        <v>13</v>
      </c>
      <c r="I129" s="16">
        <v>2011</v>
      </c>
      <c r="J129" s="16" t="s">
        <v>2115</v>
      </c>
      <c r="K129" s="16" t="s">
        <v>712</v>
      </c>
      <c r="L129" s="16" t="s">
        <v>15</v>
      </c>
      <c r="M129" s="16" t="s">
        <v>2116</v>
      </c>
      <c r="N129" s="16"/>
      <c r="O129" s="16"/>
    </row>
    <row r="130" spans="1:15" x14ac:dyDescent="0.3">
      <c r="A130" s="16">
        <v>129</v>
      </c>
      <c r="B130" s="16" t="s">
        <v>1641</v>
      </c>
      <c r="C130" s="16" t="str">
        <f>"V1902354931001"</f>
        <v>V1902354931001</v>
      </c>
      <c r="D130" s="16" t="s">
        <v>2117</v>
      </c>
      <c r="E130" s="16" t="s">
        <v>2097</v>
      </c>
      <c r="F130" s="21">
        <v>9780071795579</v>
      </c>
      <c r="G130" s="16" t="s">
        <v>2098</v>
      </c>
      <c r="H130" s="16" t="s">
        <v>13</v>
      </c>
      <c r="I130" s="16">
        <v>2011</v>
      </c>
      <c r="J130" s="16" t="s">
        <v>2118</v>
      </c>
      <c r="K130" s="16" t="s">
        <v>712</v>
      </c>
      <c r="L130" s="16" t="s">
        <v>15</v>
      </c>
      <c r="M130" s="16" t="s">
        <v>2119</v>
      </c>
      <c r="N130" s="16"/>
      <c r="O130" s="16"/>
    </row>
    <row r="131" spans="1:15" x14ac:dyDescent="0.3">
      <c r="A131" s="16">
        <v>130</v>
      </c>
      <c r="B131" s="16" t="s">
        <v>1641</v>
      </c>
      <c r="C131" s="16" t="str">
        <f>"V1902354932001"</f>
        <v>V1902354932001</v>
      </c>
      <c r="D131" s="16" t="s">
        <v>2120</v>
      </c>
      <c r="E131" s="16" t="s">
        <v>2097</v>
      </c>
      <c r="F131" s="21">
        <v>9780071795579</v>
      </c>
      <c r="G131" s="16" t="s">
        <v>2098</v>
      </c>
      <c r="H131" s="16" t="s">
        <v>13</v>
      </c>
      <c r="I131" s="16">
        <v>2011</v>
      </c>
      <c r="J131" s="16" t="s">
        <v>2121</v>
      </c>
      <c r="K131" s="16" t="s">
        <v>712</v>
      </c>
      <c r="L131" s="16" t="s">
        <v>15</v>
      </c>
      <c r="M131" s="16" t="s">
        <v>2122</v>
      </c>
      <c r="N131" s="16"/>
      <c r="O131" s="16"/>
    </row>
    <row r="132" spans="1:15" x14ac:dyDescent="0.3">
      <c r="A132" s="16">
        <v>131</v>
      </c>
      <c r="B132" s="16" t="s">
        <v>1641</v>
      </c>
      <c r="C132" s="16" t="str">
        <f>"V1902354933001"</f>
        <v>V1902354933001</v>
      </c>
      <c r="D132" s="16" t="s">
        <v>2123</v>
      </c>
      <c r="E132" s="16" t="s">
        <v>2097</v>
      </c>
      <c r="F132" s="21">
        <v>9780071795579</v>
      </c>
      <c r="G132" s="16" t="s">
        <v>2098</v>
      </c>
      <c r="H132" s="16" t="s">
        <v>13</v>
      </c>
      <c r="I132" s="16">
        <v>2011</v>
      </c>
      <c r="J132" s="16" t="s">
        <v>2124</v>
      </c>
      <c r="K132" s="16" t="s">
        <v>712</v>
      </c>
      <c r="L132" s="16" t="s">
        <v>15</v>
      </c>
      <c r="M132" s="16" t="s">
        <v>2125</v>
      </c>
      <c r="N132" s="16"/>
      <c r="O132" s="16"/>
    </row>
    <row r="133" spans="1:15" x14ac:dyDescent="0.3">
      <c r="A133" s="16">
        <v>132</v>
      </c>
      <c r="B133" s="16" t="s">
        <v>1641</v>
      </c>
      <c r="C133" s="16" t="str">
        <f>"V1902354934001"</f>
        <v>V1902354934001</v>
      </c>
      <c r="D133" s="16" t="s">
        <v>2126</v>
      </c>
      <c r="E133" s="16" t="s">
        <v>2097</v>
      </c>
      <c r="F133" s="21">
        <v>9780071795579</v>
      </c>
      <c r="G133" s="16" t="s">
        <v>2098</v>
      </c>
      <c r="H133" s="16" t="s">
        <v>13</v>
      </c>
      <c r="I133" s="16">
        <v>2011</v>
      </c>
      <c r="J133" s="16" t="s">
        <v>2127</v>
      </c>
      <c r="K133" s="16" t="s">
        <v>2128</v>
      </c>
      <c r="L133" s="16" t="s">
        <v>15</v>
      </c>
      <c r="M133" s="16" t="s">
        <v>2129</v>
      </c>
      <c r="N133" s="16"/>
      <c r="O133" s="16"/>
    </row>
    <row r="134" spans="1:15" x14ac:dyDescent="0.3">
      <c r="A134" s="16">
        <v>133</v>
      </c>
      <c r="B134" s="16" t="s">
        <v>1641</v>
      </c>
      <c r="C134" s="16" t="str">
        <f>"V1902354939001"</f>
        <v>V1902354939001</v>
      </c>
      <c r="D134" s="16" t="s">
        <v>2130</v>
      </c>
      <c r="E134" s="16" t="s">
        <v>2097</v>
      </c>
      <c r="F134" s="21">
        <v>9780071795579</v>
      </c>
      <c r="G134" s="16" t="s">
        <v>2098</v>
      </c>
      <c r="H134" s="16" t="s">
        <v>13</v>
      </c>
      <c r="I134" s="16">
        <v>2011</v>
      </c>
      <c r="J134" s="16" t="s">
        <v>2131</v>
      </c>
      <c r="K134" s="16" t="s">
        <v>712</v>
      </c>
      <c r="L134" s="16" t="s">
        <v>15</v>
      </c>
      <c r="M134" s="16" t="s">
        <v>2132</v>
      </c>
      <c r="N134" s="16"/>
      <c r="O134" s="16"/>
    </row>
    <row r="135" spans="1:15" x14ac:dyDescent="0.3">
      <c r="A135" s="16">
        <v>134</v>
      </c>
      <c r="B135" s="16" t="s">
        <v>1641</v>
      </c>
      <c r="C135" s="16" t="str">
        <f>"V1902354941001"</f>
        <v>V1902354941001</v>
      </c>
      <c r="D135" s="16" t="s">
        <v>2133</v>
      </c>
      <c r="E135" s="16" t="s">
        <v>2097</v>
      </c>
      <c r="F135" s="21">
        <v>9780071795579</v>
      </c>
      <c r="G135" s="16" t="s">
        <v>2098</v>
      </c>
      <c r="H135" s="16" t="s">
        <v>13</v>
      </c>
      <c r="I135" s="16">
        <v>2011</v>
      </c>
      <c r="J135" s="16" t="s">
        <v>2134</v>
      </c>
      <c r="K135" s="16" t="s">
        <v>712</v>
      </c>
      <c r="L135" s="16" t="s">
        <v>15</v>
      </c>
      <c r="M135" s="16" t="s">
        <v>2135</v>
      </c>
      <c r="N135" s="16"/>
      <c r="O135" s="16"/>
    </row>
    <row r="136" spans="1:15" x14ac:dyDescent="0.3">
      <c r="A136" s="16">
        <v>135</v>
      </c>
      <c r="B136" s="16" t="s">
        <v>1641</v>
      </c>
      <c r="C136" s="16" t="str">
        <f>"V1902367026001"</f>
        <v>V1902367026001</v>
      </c>
      <c r="D136" s="16" t="s">
        <v>2136</v>
      </c>
      <c r="E136" s="16" t="s">
        <v>2097</v>
      </c>
      <c r="F136" s="21">
        <v>9780071795579</v>
      </c>
      <c r="G136" s="16" t="s">
        <v>2098</v>
      </c>
      <c r="H136" s="16" t="s">
        <v>13</v>
      </c>
      <c r="I136" s="16">
        <v>2011</v>
      </c>
      <c r="J136" s="16" t="s">
        <v>2137</v>
      </c>
      <c r="K136" s="16" t="s">
        <v>712</v>
      </c>
      <c r="L136" s="16" t="s">
        <v>15</v>
      </c>
      <c r="M136" s="16" t="s">
        <v>2138</v>
      </c>
      <c r="N136" s="16"/>
      <c r="O136" s="16"/>
    </row>
    <row r="137" spans="1:15" x14ac:dyDescent="0.3">
      <c r="A137" s="16">
        <v>136</v>
      </c>
      <c r="B137" s="16" t="s">
        <v>1641</v>
      </c>
      <c r="C137" s="16" t="str">
        <f>"V1902367029001"</f>
        <v>V1902367029001</v>
      </c>
      <c r="D137" s="16" t="s">
        <v>2139</v>
      </c>
      <c r="E137" s="16" t="s">
        <v>2097</v>
      </c>
      <c r="F137" s="21">
        <v>9780071795579</v>
      </c>
      <c r="G137" s="16" t="s">
        <v>2098</v>
      </c>
      <c r="H137" s="16" t="s">
        <v>13</v>
      </c>
      <c r="I137" s="16">
        <v>2011</v>
      </c>
      <c r="J137" s="16" t="s">
        <v>2140</v>
      </c>
      <c r="K137" s="16" t="s">
        <v>649</v>
      </c>
      <c r="L137" s="16" t="s">
        <v>15</v>
      </c>
      <c r="M137" s="16" t="s">
        <v>2141</v>
      </c>
      <c r="N137" s="16"/>
      <c r="O137" s="16"/>
    </row>
    <row r="138" spans="1:15" x14ac:dyDescent="0.3">
      <c r="A138" s="16">
        <v>137</v>
      </c>
      <c r="B138" s="16" t="s">
        <v>1641</v>
      </c>
      <c r="C138" s="16" t="str">
        <f>"V1902367030001"</f>
        <v>V1902367030001</v>
      </c>
      <c r="D138" s="16" t="s">
        <v>2142</v>
      </c>
      <c r="E138" s="16" t="s">
        <v>2097</v>
      </c>
      <c r="F138" s="21">
        <v>9780071795579</v>
      </c>
      <c r="G138" s="16" t="s">
        <v>2098</v>
      </c>
      <c r="H138" s="16" t="s">
        <v>13</v>
      </c>
      <c r="I138" s="16">
        <v>2011</v>
      </c>
      <c r="J138" s="16" t="s">
        <v>2143</v>
      </c>
      <c r="K138" s="16" t="s">
        <v>712</v>
      </c>
      <c r="L138" s="16" t="s">
        <v>15</v>
      </c>
      <c r="M138" s="16" t="s">
        <v>2144</v>
      </c>
      <c r="N138" s="16"/>
      <c r="O138" s="16"/>
    </row>
    <row r="139" spans="1:15" x14ac:dyDescent="0.3">
      <c r="A139" s="16">
        <v>138</v>
      </c>
      <c r="B139" s="16" t="s">
        <v>1641</v>
      </c>
      <c r="C139" s="16" t="str">
        <f>"V1902367031001"</f>
        <v>V1902367031001</v>
      </c>
      <c r="D139" s="16" t="s">
        <v>2145</v>
      </c>
      <c r="E139" s="16" t="s">
        <v>2097</v>
      </c>
      <c r="F139" s="21">
        <v>9780071795579</v>
      </c>
      <c r="G139" s="16" t="s">
        <v>2098</v>
      </c>
      <c r="H139" s="16" t="s">
        <v>13</v>
      </c>
      <c r="I139" s="16">
        <v>2011</v>
      </c>
      <c r="J139" s="16" t="s">
        <v>2146</v>
      </c>
      <c r="K139" s="16" t="s">
        <v>2147</v>
      </c>
      <c r="L139" s="16" t="s">
        <v>15</v>
      </c>
      <c r="M139" s="16" t="s">
        <v>2148</v>
      </c>
      <c r="N139" s="16"/>
      <c r="O139" s="16"/>
    </row>
    <row r="140" spans="1:15" x14ac:dyDescent="0.3">
      <c r="A140" s="16">
        <v>139</v>
      </c>
      <c r="B140" s="16" t="s">
        <v>1641</v>
      </c>
      <c r="C140" s="16" t="str">
        <f>"V1902367032001"</f>
        <v>V1902367032001</v>
      </c>
      <c r="D140" s="16" t="s">
        <v>2149</v>
      </c>
      <c r="E140" s="16" t="s">
        <v>2097</v>
      </c>
      <c r="F140" s="21">
        <v>9780071795579</v>
      </c>
      <c r="G140" s="16" t="s">
        <v>2098</v>
      </c>
      <c r="H140" s="16" t="s">
        <v>13</v>
      </c>
      <c r="I140" s="16">
        <v>2011</v>
      </c>
      <c r="J140" s="16" t="s">
        <v>2150</v>
      </c>
      <c r="K140" s="16" t="s">
        <v>712</v>
      </c>
      <c r="L140" s="16" t="s">
        <v>15</v>
      </c>
      <c r="M140" s="16" t="s">
        <v>2151</v>
      </c>
      <c r="N140" s="16"/>
      <c r="O140" s="16"/>
    </row>
    <row r="141" spans="1:15" x14ac:dyDescent="0.3">
      <c r="A141" s="16">
        <v>140</v>
      </c>
      <c r="B141" s="16" t="s">
        <v>1641</v>
      </c>
      <c r="C141" s="16" t="str">
        <f>"V1902367033001"</f>
        <v>V1902367033001</v>
      </c>
      <c r="D141" s="16" t="s">
        <v>2152</v>
      </c>
      <c r="E141" s="16" t="s">
        <v>2097</v>
      </c>
      <c r="F141" s="21">
        <v>9780071795579</v>
      </c>
      <c r="G141" s="16" t="s">
        <v>2098</v>
      </c>
      <c r="H141" s="16" t="s">
        <v>13</v>
      </c>
      <c r="I141" s="16">
        <v>2011</v>
      </c>
      <c r="J141" s="16" t="s">
        <v>2109</v>
      </c>
      <c r="K141" s="16" t="s">
        <v>712</v>
      </c>
      <c r="L141" s="16" t="s">
        <v>15</v>
      </c>
      <c r="M141" s="16" t="s">
        <v>2153</v>
      </c>
      <c r="N141" s="16"/>
      <c r="O141" s="16"/>
    </row>
    <row r="142" spans="1:15" x14ac:dyDescent="0.3">
      <c r="A142" s="16">
        <v>141</v>
      </c>
      <c r="B142" s="16" t="s">
        <v>1641</v>
      </c>
      <c r="C142" s="16" t="str">
        <f>"V1902367035001"</f>
        <v>V1902367035001</v>
      </c>
      <c r="D142" s="16" t="s">
        <v>2154</v>
      </c>
      <c r="E142" s="16" t="s">
        <v>2097</v>
      </c>
      <c r="F142" s="21">
        <v>9780071795579</v>
      </c>
      <c r="G142" s="16" t="s">
        <v>2098</v>
      </c>
      <c r="H142" s="16" t="s">
        <v>13</v>
      </c>
      <c r="I142" s="16">
        <v>2011</v>
      </c>
      <c r="J142" s="16" t="s">
        <v>2155</v>
      </c>
      <c r="K142" s="16" t="s">
        <v>712</v>
      </c>
      <c r="L142" s="16" t="s">
        <v>15</v>
      </c>
      <c r="M142" s="16" t="s">
        <v>2156</v>
      </c>
      <c r="N142" s="16"/>
      <c r="O142" s="16"/>
    </row>
    <row r="143" spans="1:15" x14ac:dyDescent="0.3">
      <c r="A143" s="16">
        <v>142</v>
      </c>
      <c r="B143" s="16" t="s">
        <v>1641</v>
      </c>
      <c r="C143" s="16" t="str">
        <f>"V1902367037001"</f>
        <v>V1902367037001</v>
      </c>
      <c r="D143" s="16" t="s">
        <v>2157</v>
      </c>
      <c r="E143" s="16" t="s">
        <v>2097</v>
      </c>
      <c r="F143" s="21">
        <v>9780071795579</v>
      </c>
      <c r="G143" s="16" t="s">
        <v>2098</v>
      </c>
      <c r="H143" s="16" t="s">
        <v>13</v>
      </c>
      <c r="I143" s="16">
        <v>2011</v>
      </c>
      <c r="J143" s="16" t="s">
        <v>2158</v>
      </c>
      <c r="K143" s="16" t="s">
        <v>712</v>
      </c>
      <c r="L143" s="16" t="s">
        <v>15</v>
      </c>
      <c r="M143" s="16" t="s">
        <v>2159</v>
      </c>
      <c r="N143" s="16"/>
      <c r="O143" s="16"/>
    </row>
    <row r="144" spans="1:15" x14ac:dyDescent="0.3">
      <c r="A144" s="16">
        <v>143</v>
      </c>
      <c r="B144" s="16" t="s">
        <v>1641</v>
      </c>
      <c r="C144" s="16" t="str">
        <f>"V1931803546001"</f>
        <v>V1931803546001</v>
      </c>
      <c r="D144" s="16" t="s">
        <v>2160</v>
      </c>
      <c r="E144" s="16" t="s">
        <v>1101</v>
      </c>
      <c r="F144" s="21">
        <v>9780071762328</v>
      </c>
      <c r="G144" s="16" t="s">
        <v>2022</v>
      </c>
      <c r="H144" s="16" t="s">
        <v>13</v>
      </c>
      <c r="I144" s="16">
        <v>2012</v>
      </c>
      <c r="J144" s="16" t="s">
        <v>2161</v>
      </c>
      <c r="K144" s="16" t="s">
        <v>2162</v>
      </c>
      <c r="L144" s="16" t="s">
        <v>15</v>
      </c>
      <c r="M144" s="16" t="s">
        <v>2163</v>
      </c>
      <c r="N144" s="16"/>
      <c r="O144" s="16"/>
    </row>
    <row r="145" spans="1:15" x14ac:dyDescent="0.3">
      <c r="A145" s="16">
        <v>144</v>
      </c>
      <c r="B145" s="16" t="s">
        <v>1641</v>
      </c>
      <c r="C145" s="16" t="str">
        <f>"V1931803550001"</f>
        <v>V1931803550001</v>
      </c>
      <c r="D145" s="16" t="s">
        <v>2164</v>
      </c>
      <c r="E145" s="16" t="s">
        <v>1101</v>
      </c>
      <c r="F145" s="21">
        <v>9780071762328</v>
      </c>
      <c r="G145" s="16" t="s">
        <v>2022</v>
      </c>
      <c r="H145" s="16" t="s">
        <v>13</v>
      </c>
      <c r="I145" s="16">
        <v>2012</v>
      </c>
      <c r="J145" s="16" t="s">
        <v>2165</v>
      </c>
      <c r="K145" s="16" t="s">
        <v>2166</v>
      </c>
      <c r="L145" s="16" t="s">
        <v>15</v>
      </c>
      <c r="M145" s="16" t="s">
        <v>2167</v>
      </c>
      <c r="N145" s="16"/>
      <c r="O145" s="16"/>
    </row>
    <row r="146" spans="1:15" x14ac:dyDescent="0.3">
      <c r="A146" s="16">
        <v>145</v>
      </c>
      <c r="B146" s="16" t="s">
        <v>1641</v>
      </c>
      <c r="C146" s="16" t="str">
        <f>"V1931803551001"</f>
        <v>V1931803551001</v>
      </c>
      <c r="D146" s="16" t="s">
        <v>2168</v>
      </c>
      <c r="E146" s="16" t="s">
        <v>1101</v>
      </c>
      <c r="F146" s="21">
        <v>9780071762328</v>
      </c>
      <c r="G146" s="16" t="s">
        <v>2022</v>
      </c>
      <c r="H146" s="16" t="s">
        <v>13</v>
      </c>
      <c r="I146" s="16">
        <v>2012</v>
      </c>
      <c r="J146" s="16" t="s">
        <v>2169</v>
      </c>
      <c r="K146" s="16" t="s">
        <v>2170</v>
      </c>
      <c r="L146" s="16" t="s">
        <v>15</v>
      </c>
      <c r="M146" s="16" t="s">
        <v>2171</v>
      </c>
      <c r="N146" s="16"/>
      <c r="O146" s="16"/>
    </row>
    <row r="147" spans="1:15" x14ac:dyDescent="0.3">
      <c r="A147" s="16">
        <v>146</v>
      </c>
      <c r="B147" s="16" t="s">
        <v>1641</v>
      </c>
      <c r="C147" s="16" t="str">
        <f>"V1931831086001"</f>
        <v>V1931831086001</v>
      </c>
      <c r="D147" s="16" t="s">
        <v>2172</v>
      </c>
      <c r="E147" s="16" t="s">
        <v>2173</v>
      </c>
      <c r="F147" s="21" t="s">
        <v>2174</v>
      </c>
      <c r="G147" s="16" t="s">
        <v>2022</v>
      </c>
      <c r="H147" s="16" t="s">
        <v>13</v>
      </c>
      <c r="I147" s="16">
        <v>2012</v>
      </c>
      <c r="J147" s="16" t="s">
        <v>2175</v>
      </c>
      <c r="K147" s="16" t="s">
        <v>2176</v>
      </c>
      <c r="L147" s="16" t="s">
        <v>15</v>
      </c>
      <c r="M147" s="16" t="s">
        <v>2177</v>
      </c>
      <c r="N147" s="16"/>
      <c r="O147" s="16"/>
    </row>
    <row r="148" spans="1:15" x14ac:dyDescent="0.3">
      <c r="A148" s="16">
        <v>147</v>
      </c>
      <c r="B148" s="16" t="s">
        <v>1641</v>
      </c>
      <c r="C148" s="16" t="str">
        <f>"V1931831087001"</f>
        <v>V1931831087001</v>
      </c>
      <c r="D148" s="16" t="s">
        <v>2178</v>
      </c>
      <c r="E148" s="16" t="s">
        <v>1101</v>
      </c>
      <c r="F148" s="21">
        <v>9780071762328</v>
      </c>
      <c r="G148" s="16" t="s">
        <v>2022</v>
      </c>
      <c r="H148" s="16" t="s">
        <v>13</v>
      </c>
      <c r="I148" s="16">
        <v>2012</v>
      </c>
      <c r="J148" s="16" t="s">
        <v>2179</v>
      </c>
      <c r="K148" s="16" t="s">
        <v>2162</v>
      </c>
      <c r="L148" s="16" t="s">
        <v>15</v>
      </c>
      <c r="M148" s="16" t="s">
        <v>2180</v>
      </c>
      <c r="N148" s="16"/>
      <c r="O148" s="16"/>
    </row>
    <row r="149" spans="1:15" x14ac:dyDescent="0.3">
      <c r="A149" s="16">
        <v>148</v>
      </c>
      <c r="B149" s="16" t="s">
        <v>1641</v>
      </c>
      <c r="C149" s="16" t="str">
        <f>"V1931831088001"</f>
        <v>V1931831088001</v>
      </c>
      <c r="D149" s="16" t="s">
        <v>2181</v>
      </c>
      <c r="E149" s="16" t="s">
        <v>1101</v>
      </c>
      <c r="F149" s="21">
        <v>9780071762328</v>
      </c>
      <c r="G149" s="16" t="s">
        <v>2022</v>
      </c>
      <c r="H149" s="16" t="s">
        <v>13</v>
      </c>
      <c r="I149" s="16">
        <v>2012</v>
      </c>
      <c r="J149" s="16" t="s">
        <v>2182</v>
      </c>
      <c r="K149" s="16" t="s">
        <v>2162</v>
      </c>
      <c r="L149" s="16" t="s">
        <v>15</v>
      </c>
      <c r="M149" s="16" t="s">
        <v>2183</v>
      </c>
      <c r="N149" s="16"/>
      <c r="O149" s="16"/>
    </row>
    <row r="150" spans="1:15" x14ac:dyDescent="0.3">
      <c r="A150" s="16">
        <v>149</v>
      </c>
      <c r="B150" s="16" t="s">
        <v>1641</v>
      </c>
      <c r="C150" s="16" t="str">
        <f>"V1931831091001"</f>
        <v>V1931831091001</v>
      </c>
      <c r="D150" s="16" t="s">
        <v>2184</v>
      </c>
      <c r="E150" s="16" t="s">
        <v>2173</v>
      </c>
      <c r="F150" s="21" t="s">
        <v>2174</v>
      </c>
      <c r="G150" s="16" t="s">
        <v>2022</v>
      </c>
      <c r="H150" s="16" t="s">
        <v>13</v>
      </c>
      <c r="I150" s="16">
        <v>2012</v>
      </c>
      <c r="J150" s="16" t="s">
        <v>2185</v>
      </c>
      <c r="K150" s="16" t="s">
        <v>2186</v>
      </c>
      <c r="L150" s="16" t="s">
        <v>15</v>
      </c>
      <c r="M150" s="16" t="s">
        <v>2187</v>
      </c>
      <c r="N150" s="16"/>
      <c r="O150" s="16"/>
    </row>
    <row r="151" spans="1:15" x14ac:dyDescent="0.3">
      <c r="A151" s="16">
        <v>150</v>
      </c>
      <c r="B151" s="16" t="s">
        <v>1641</v>
      </c>
      <c r="C151" s="16" t="str">
        <f>"V1931831096001"</f>
        <v>V1931831096001</v>
      </c>
      <c r="D151" s="16" t="s">
        <v>2188</v>
      </c>
      <c r="E151" s="16" t="s">
        <v>2173</v>
      </c>
      <c r="F151" s="21" t="s">
        <v>2174</v>
      </c>
      <c r="G151" s="16" t="s">
        <v>2022</v>
      </c>
      <c r="H151" s="16" t="s">
        <v>13</v>
      </c>
      <c r="I151" s="16">
        <v>2012</v>
      </c>
      <c r="J151" s="16" t="s">
        <v>2189</v>
      </c>
      <c r="K151" s="16" t="s">
        <v>2186</v>
      </c>
      <c r="L151" s="16" t="s">
        <v>15</v>
      </c>
      <c r="M151" s="16" t="s">
        <v>2190</v>
      </c>
      <c r="N151" s="16"/>
      <c r="O151" s="16"/>
    </row>
    <row r="152" spans="1:15" x14ac:dyDescent="0.3">
      <c r="A152" s="16">
        <v>151</v>
      </c>
      <c r="B152" s="16" t="s">
        <v>1641</v>
      </c>
      <c r="C152" s="16" t="str">
        <f>"V1931831111001"</f>
        <v>V1931831111001</v>
      </c>
      <c r="D152" s="16" t="s">
        <v>2191</v>
      </c>
      <c r="E152" s="16" t="s">
        <v>2173</v>
      </c>
      <c r="F152" s="21" t="s">
        <v>2174</v>
      </c>
      <c r="G152" s="16" t="s">
        <v>2022</v>
      </c>
      <c r="H152" s="16" t="s">
        <v>13</v>
      </c>
      <c r="I152" s="16">
        <v>2012</v>
      </c>
      <c r="J152" s="16" t="s">
        <v>2192</v>
      </c>
      <c r="K152" s="16" t="s">
        <v>2186</v>
      </c>
      <c r="L152" s="16" t="s">
        <v>15</v>
      </c>
      <c r="M152" s="16" t="s">
        <v>2193</v>
      </c>
      <c r="N152" s="16"/>
      <c r="O152" s="16"/>
    </row>
    <row r="153" spans="1:15" x14ac:dyDescent="0.3">
      <c r="A153" s="16">
        <v>152</v>
      </c>
      <c r="B153" s="16" t="s">
        <v>1641</v>
      </c>
      <c r="C153" s="16" t="str">
        <f>"V1931838137001"</f>
        <v>V1931838137001</v>
      </c>
      <c r="D153" s="16" t="s">
        <v>2194</v>
      </c>
      <c r="E153" s="16" t="s">
        <v>2173</v>
      </c>
      <c r="F153" s="21" t="s">
        <v>2174</v>
      </c>
      <c r="G153" s="16" t="s">
        <v>2022</v>
      </c>
      <c r="H153" s="16" t="s">
        <v>13</v>
      </c>
      <c r="I153" s="16">
        <v>2012</v>
      </c>
      <c r="J153" s="16" t="s">
        <v>2195</v>
      </c>
      <c r="K153" s="16" t="s">
        <v>2176</v>
      </c>
      <c r="L153" s="16" t="s">
        <v>15</v>
      </c>
      <c r="M153" s="16" t="s">
        <v>2196</v>
      </c>
      <c r="N153" s="16"/>
      <c r="O153" s="16"/>
    </row>
    <row r="154" spans="1:15" x14ac:dyDescent="0.3">
      <c r="A154" s="16">
        <v>153</v>
      </c>
      <c r="B154" s="16" t="s">
        <v>1641</v>
      </c>
      <c r="C154" s="16" t="str">
        <f>"V1931838139001"</f>
        <v>V1931838139001</v>
      </c>
      <c r="D154" s="16" t="s">
        <v>2197</v>
      </c>
      <c r="E154" s="16" t="s">
        <v>1101</v>
      </c>
      <c r="F154" s="21">
        <v>9780071762328</v>
      </c>
      <c r="G154" s="16" t="s">
        <v>2022</v>
      </c>
      <c r="H154" s="16" t="s">
        <v>13</v>
      </c>
      <c r="I154" s="16">
        <v>2012</v>
      </c>
      <c r="J154" s="16" t="s">
        <v>2198</v>
      </c>
      <c r="K154" s="16" t="s">
        <v>2162</v>
      </c>
      <c r="L154" s="16" t="s">
        <v>15</v>
      </c>
      <c r="M154" s="16" t="s">
        <v>2199</v>
      </c>
      <c r="N154" s="16"/>
      <c r="O154" s="16"/>
    </row>
    <row r="155" spans="1:15" x14ac:dyDescent="0.3">
      <c r="A155" s="16">
        <v>154</v>
      </c>
      <c r="B155" s="16" t="s">
        <v>1641</v>
      </c>
      <c r="C155" s="16" t="str">
        <f>"V1931838140001"</f>
        <v>V1931838140001</v>
      </c>
      <c r="D155" s="16" t="s">
        <v>2200</v>
      </c>
      <c r="E155" s="16" t="s">
        <v>1101</v>
      </c>
      <c r="F155" s="21">
        <v>9780071762328</v>
      </c>
      <c r="G155" s="16" t="s">
        <v>2022</v>
      </c>
      <c r="H155" s="16" t="s">
        <v>13</v>
      </c>
      <c r="I155" s="16">
        <v>2012</v>
      </c>
      <c r="J155" s="16" t="s">
        <v>2201</v>
      </c>
      <c r="K155" s="16" t="s">
        <v>2170</v>
      </c>
      <c r="L155" s="16" t="s">
        <v>15</v>
      </c>
      <c r="M155" s="16" t="s">
        <v>2202</v>
      </c>
      <c r="N155" s="16"/>
      <c r="O155" s="16"/>
    </row>
    <row r="156" spans="1:15" x14ac:dyDescent="0.3">
      <c r="A156" s="16">
        <v>155</v>
      </c>
      <c r="B156" s="16" t="s">
        <v>1641</v>
      </c>
      <c r="C156" s="16" t="str">
        <f>"V1931838141001"</f>
        <v>V1931838141001</v>
      </c>
      <c r="D156" s="16" t="s">
        <v>2203</v>
      </c>
      <c r="E156" s="16" t="s">
        <v>2173</v>
      </c>
      <c r="F156" s="21" t="s">
        <v>2174</v>
      </c>
      <c r="G156" s="16" t="s">
        <v>2022</v>
      </c>
      <c r="H156" s="16" t="s">
        <v>13</v>
      </c>
      <c r="I156" s="16">
        <v>2012</v>
      </c>
      <c r="J156" s="16" t="s">
        <v>2204</v>
      </c>
      <c r="K156" s="16" t="s">
        <v>2205</v>
      </c>
      <c r="L156" s="16" t="s">
        <v>15</v>
      </c>
      <c r="M156" s="16" t="s">
        <v>2206</v>
      </c>
      <c r="N156" s="16"/>
      <c r="O156" s="16"/>
    </row>
    <row r="157" spans="1:15" x14ac:dyDescent="0.3">
      <c r="A157" s="16">
        <v>156</v>
      </c>
      <c r="B157" s="16" t="s">
        <v>1641</v>
      </c>
      <c r="C157" s="16" t="str">
        <f>"V1931838143001"</f>
        <v>V1931838143001</v>
      </c>
      <c r="D157" s="16" t="s">
        <v>2207</v>
      </c>
      <c r="E157" s="16" t="s">
        <v>2173</v>
      </c>
      <c r="F157" s="21" t="s">
        <v>2174</v>
      </c>
      <c r="G157" s="16" t="s">
        <v>2022</v>
      </c>
      <c r="H157" s="16" t="s">
        <v>13</v>
      </c>
      <c r="I157" s="16">
        <v>2012</v>
      </c>
      <c r="J157" s="16" t="s">
        <v>2208</v>
      </c>
      <c r="K157" s="16" t="s">
        <v>2209</v>
      </c>
      <c r="L157" s="16" t="s">
        <v>15</v>
      </c>
      <c r="M157" s="16" t="s">
        <v>2210</v>
      </c>
      <c r="N157" s="16"/>
      <c r="O157" s="16"/>
    </row>
    <row r="158" spans="1:15" x14ac:dyDescent="0.3">
      <c r="A158" s="16">
        <v>157</v>
      </c>
      <c r="B158" s="16" t="s">
        <v>1641</v>
      </c>
      <c r="C158" s="16" t="str">
        <f>"V1931838147001"</f>
        <v>V1931838147001</v>
      </c>
      <c r="D158" s="16" t="s">
        <v>2211</v>
      </c>
      <c r="E158" s="16" t="s">
        <v>2173</v>
      </c>
      <c r="F158" s="21" t="s">
        <v>2174</v>
      </c>
      <c r="G158" s="16" t="s">
        <v>2022</v>
      </c>
      <c r="H158" s="16" t="s">
        <v>13</v>
      </c>
      <c r="I158" s="16">
        <v>2012</v>
      </c>
      <c r="J158" s="16" t="s">
        <v>2212</v>
      </c>
      <c r="K158" s="16" t="s">
        <v>2213</v>
      </c>
      <c r="L158" s="16" t="s">
        <v>15</v>
      </c>
      <c r="M158" s="16" t="s">
        <v>2214</v>
      </c>
      <c r="N158" s="16"/>
      <c r="O158" s="16"/>
    </row>
    <row r="159" spans="1:15" x14ac:dyDescent="0.3">
      <c r="A159" s="16">
        <v>158</v>
      </c>
      <c r="B159" s="16" t="s">
        <v>1641</v>
      </c>
      <c r="C159" s="16" t="str">
        <f>"V1931838149001"</f>
        <v>V1931838149001</v>
      </c>
      <c r="D159" s="16" t="s">
        <v>2215</v>
      </c>
      <c r="E159" s="16" t="s">
        <v>1101</v>
      </c>
      <c r="F159" s="21">
        <v>9780071762328</v>
      </c>
      <c r="G159" s="16" t="s">
        <v>2022</v>
      </c>
      <c r="H159" s="16" t="s">
        <v>13</v>
      </c>
      <c r="I159" s="16">
        <v>2012</v>
      </c>
      <c r="J159" s="16" t="s">
        <v>2216</v>
      </c>
      <c r="K159" s="16" t="s">
        <v>2205</v>
      </c>
      <c r="L159" s="16" t="s">
        <v>15</v>
      </c>
      <c r="M159" s="16" t="s">
        <v>2217</v>
      </c>
      <c r="N159" s="16"/>
      <c r="O159" s="16"/>
    </row>
    <row r="160" spans="1:15" x14ac:dyDescent="0.3">
      <c r="A160" s="16">
        <v>159</v>
      </c>
      <c r="B160" s="16" t="s">
        <v>1641</v>
      </c>
      <c r="C160" s="16" t="str">
        <f>"V1931838150001"</f>
        <v>V1931838150001</v>
      </c>
      <c r="D160" s="16" t="s">
        <v>2218</v>
      </c>
      <c r="E160" s="16" t="s">
        <v>2173</v>
      </c>
      <c r="F160" s="21" t="s">
        <v>2174</v>
      </c>
      <c r="G160" s="16" t="s">
        <v>2022</v>
      </c>
      <c r="H160" s="16" t="s">
        <v>13</v>
      </c>
      <c r="I160" s="16">
        <v>2012</v>
      </c>
      <c r="J160" s="16" t="s">
        <v>2219</v>
      </c>
      <c r="K160" s="16" t="s">
        <v>2220</v>
      </c>
      <c r="L160" s="16" t="s">
        <v>15</v>
      </c>
      <c r="M160" s="16" t="s">
        <v>2221</v>
      </c>
      <c r="N160" s="16"/>
      <c r="O160" s="16"/>
    </row>
    <row r="161" spans="1:15" x14ac:dyDescent="0.3">
      <c r="A161" s="16">
        <v>160</v>
      </c>
      <c r="B161" s="16" t="s">
        <v>1641</v>
      </c>
      <c r="C161" s="16" t="str">
        <f>"V1931854273001"</f>
        <v>V1931854273001</v>
      </c>
      <c r="D161" s="16" t="s">
        <v>2222</v>
      </c>
      <c r="E161" s="16" t="s">
        <v>2173</v>
      </c>
      <c r="F161" s="21" t="s">
        <v>2174</v>
      </c>
      <c r="G161" s="16" t="s">
        <v>2022</v>
      </c>
      <c r="H161" s="16" t="s">
        <v>13</v>
      </c>
      <c r="I161" s="16">
        <v>2012</v>
      </c>
      <c r="J161" s="16" t="s">
        <v>2219</v>
      </c>
      <c r="K161" s="16" t="s">
        <v>2220</v>
      </c>
      <c r="L161" s="16" t="s">
        <v>15</v>
      </c>
      <c r="M161" s="16" t="s">
        <v>2223</v>
      </c>
      <c r="N161" s="16"/>
      <c r="O161" s="16"/>
    </row>
    <row r="162" spans="1:15" x14ac:dyDescent="0.3">
      <c r="A162" s="16">
        <v>161</v>
      </c>
      <c r="B162" s="16" t="s">
        <v>1641</v>
      </c>
      <c r="C162" s="16" t="str">
        <f>"V1931854275001"</f>
        <v>V1931854275001</v>
      </c>
      <c r="D162" s="16" t="s">
        <v>2224</v>
      </c>
      <c r="E162" s="16" t="s">
        <v>2173</v>
      </c>
      <c r="F162" s="21" t="s">
        <v>2174</v>
      </c>
      <c r="G162" s="16" t="s">
        <v>2022</v>
      </c>
      <c r="H162" s="16" t="s">
        <v>13</v>
      </c>
      <c r="I162" s="16">
        <v>2012</v>
      </c>
      <c r="J162" s="16" t="s">
        <v>2225</v>
      </c>
      <c r="K162" s="16" t="s">
        <v>2186</v>
      </c>
      <c r="L162" s="16" t="s">
        <v>15</v>
      </c>
      <c r="M162" s="16" t="s">
        <v>2226</v>
      </c>
      <c r="N162" s="16"/>
      <c r="O162" s="16"/>
    </row>
    <row r="163" spans="1:15" x14ac:dyDescent="0.3">
      <c r="A163" s="16">
        <v>162</v>
      </c>
      <c r="B163" s="16" t="s">
        <v>1641</v>
      </c>
      <c r="C163" s="16" t="str">
        <f>"V1948933348001"</f>
        <v>V1948933348001</v>
      </c>
      <c r="D163" s="16" t="s">
        <v>2227</v>
      </c>
      <c r="E163" s="16" t="s">
        <v>2173</v>
      </c>
      <c r="F163" s="21" t="s">
        <v>2174</v>
      </c>
      <c r="G163" s="16" t="s">
        <v>2022</v>
      </c>
      <c r="H163" s="16" t="s">
        <v>13</v>
      </c>
      <c r="I163" s="16">
        <v>2012</v>
      </c>
      <c r="J163" s="16" t="s">
        <v>2228</v>
      </c>
      <c r="K163" s="16" t="s">
        <v>2229</v>
      </c>
      <c r="L163" s="16" t="s">
        <v>15</v>
      </c>
      <c r="M163" s="16" t="s">
        <v>2230</v>
      </c>
      <c r="N163" s="16"/>
      <c r="O163" s="16"/>
    </row>
    <row r="164" spans="1:15" x14ac:dyDescent="0.3">
      <c r="A164" s="16">
        <v>163</v>
      </c>
      <c r="B164" s="16" t="s">
        <v>1641</v>
      </c>
      <c r="C164" s="16" t="str">
        <f>"V1948943120001"</f>
        <v>V1948943120001</v>
      </c>
      <c r="D164" s="16" t="s">
        <v>2231</v>
      </c>
      <c r="E164" s="16" t="s">
        <v>2173</v>
      </c>
      <c r="F164" s="21" t="s">
        <v>2174</v>
      </c>
      <c r="G164" s="16" t="s">
        <v>2022</v>
      </c>
      <c r="H164" s="16" t="s">
        <v>13</v>
      </c>
      <c r="I164" s="16">
        <v>2012</v>
      </c>
      <c r="J164" s="16" t="s">
        <v>2189</v>
      </c>
      <c r="K164" s="16" t="s">
        <v>2186</v>
      </c>
      <c r="L164" s="16" t="s">
        <v>15</v>
      </c>
      <c r="M164" s="16" t="s">
        <v>2232</v>
      </c>
      <c r="N164" s="16"/>
      <c r="O164" s="16"/>
    </row>
    <row r="165" spans="1:15" x14ac:dyDescent="0.3">
      <c r="A165" s="16">
        <v>164</v>
      </c>
      <c r="B165" s="16" t="s">
        <v>1641</v>
      </c>
      <c r="C165" s="16" t="str">
        <f>"V1955115574001"</f>
        <v>V1955115574001</v>
      </c>
      <c r="D165" s="16" t="s">
        <v>2233</v>
      </c>
      <c r="E165" s="16" t="s">
        <v>884</v>
      </c>
      <c r="F165" s="21">
        <v>9780071834087</v>
      </c>
      <c r="G165" s="16" t="s">
        <v>1808</v>
      </c>
      <c r="H165" s="16" t="s">
        <v>13</v>
      </c>
      <c r="I165" s="16">
        <v>2012</v>
      </c>
      <c r="J165" s="16" t="s">
        <v>2234</v>
      </c>
      <c r="K165" s="16" t="s">
        <v>38</v>
      </c>
      <c r="L165" s="16" t="s">
        <v>15</v>
      </c>
      <c r="M165" s="16" t="s">
        <v>2235</v>
      </c>
      <c r="N165" s="16"/>
      <c r="O165" s="16"/>
    </row>
    <row r="166" spans="1:15" x14ac:dyDescent="0.3">
      <c r="A166" s="16">
        <v>165</v>
      </c>
      <c r="B166" s="16" t="s">
        <v>1641</v>
      </c>
      <c r="C166" s="16" t="str">
        <f>"V1955115576001"</f>
        <v>V1955115576001</v>
      </c>
      <c r="D166" s="16" t="s">
        <v>2236</v>
      </c>
      <c r="E166" s="16" t="s">
        <v>884</v>
      </c>
      <c r="F166" s="21">
        <v>9780071834087</v>
      </c>
      <c r="G166" s="16" t="s">
        <v>1808</v>
      </c>
      <c r="H166" s="16" t="s">
        <v>13</v>
      </c>
      <c r="I166" s="16">
        <v>2012</v>
      </c>
      <c r="J166" s="16" t="s">
        <v>2237</v>
      </c>
      <c r="K166" s="16" t="s">
        <v>2238</v>
      </c>
      <c r="L166" s="16" t="s">
        <v>15</v>
      </c>
      <c r="M166" s="16" t="s">
        <v>2239</v>
      </c>
      <c r="N166" s="16"/>
      <c r="O166" s="16"/>
    </row>
    <row r="167" spans="1:15" x14ac:dyDescent="0.3">
      <c r="A167" s="16">
        <v>166</v>
      </c>
      <c r="B167" s="16" t="s">
        <v>1641</v>
      </c>
      <c r="C167" s="16" t="str">
        <f>"V1955115579001"</f>
        <v>V1955115579001</v>
      </c>
      <c r="D167" s="16" t="s">
        <v>2240</v>
      </c>
      <c r="E167" s="16" t="s">
        <v>884</v>
      </c>
      <c r="F167" s="21">
        <v>9780071834087</v>
      </c>
      <c r="G167" s="16" t="s">
        <v>1808</v>
      </c>
      <c r="H167" s="16" t="s">
        <v>13</v>
      </c>
      <c r="I167" s="16">
        <v>2012</v>
      </c>
      <c r="J167" s="16" t="s">
        <v>2241</v>
      </c>
      <c r="K167" s="16" t="s">
        <v>2242</v>
      </c>
      <c r="L167" s="16" t="s">
        <v>15</v>
      </c>
      <c r="M167" s="16" t="s">
        <v>2243</v>
      </c>
      <c r="N167" s="16"/>
      <c r="O167" s="16"/>
    </row>
    <row r="168" spans="1:15" x14ac:dyDescent="0.3">
      <c r="A168" s="16">
        <v>167</v>
      </c>
      <c r="B168" s="16" t="s">
        <v>1641</v>
      </c>
      <c r="C168" s="16" t="str">
        <f>"V1955179000001"</f>
        <v>V1955179000001</v>
      </c>
      <c r="D168" s="16" t="s">
        <v>2244</v>
      </c>
      <c r="E168" s="16" t="s">
        <v>884</v>
      </c>
      <c r="F168" s="21">
        <v>9780071834087</v>
      </c>
      <c r="G168" s="16" t="s">
        <v>1808</v>
      </c>
      <c r="H168" s="16" t="s">
        <v>13</v>
      </c>
      <c r="I168" s="16">
        <v>2012</v>
      </c>
      <c r="J168" s="16" t="s">
        <v>2245</v>
      </c>
      <c r="K168" s="16" t="s">
        <v>38</v>
      </c>
      <c r="L168" s="16" t="s">
        <v>15</v>
      </c>
      <c r="M168" s="16" t="s">
        <v>2246</v>
      </c>
      <c r="N168" s="16"/>
      <c r="O168" s="16"/>
    </row>
    <row r="169" spans="1:15" x14ac:dyDescent="0.3">
      <c r="A169" s="16">
        <v>168</v>
      </c>
      <c r="B169" s="16" t="s">
        <v>1641</v>
      </c>
      <c r="C169" s="16" t="str">
        <f>"V1955179001001"</f>
        <v>V1955179001001</v>
      </c>
      <c r="D169" s="16" t="s">
        <v>2247</v>
      </c>
      <c r="E169" s="16" t="s">
        <v>884</v>
      </c>
      <c r="F169" s="21">
        <v>9780071834087</v>
      </c>
      <c r="G169" s="16" t="s">
        <v>1808</v>
      </c>
      <c r="H169" s="16" t="s">
        <v>13</v>
      </c>
      <c r="I169" s="16">
        <v>2012</v>
      </c>
      <c r="J169" s="16" t="s">
        <v>2248</v>
      </c>
      <c r="K169" s="16" t="s">
        <v>2249</v>
      </c>
      <c r="L169" s="16" t="s">
        <v>15</v>
      </c>
      <c r="M169" s="16" t="s">
        <v>2250</v>
      </c>
      <c r="N169" s="16"/>
      <c r="O169" s="16"/>
    </row>
    <row r="170" spans="1:15" x14ac:dyDescent="0.3">
      <c r="A170" s="16">
        <v>169</v>
      </c>
      <c r="B170" s="16" t="s">
        <v>1641</v>
      </c>
      <c r="C170" s="16" t="str">
        <f>"V1955179002001"</f>
        <v>V1955179002001</v>
      </c>
      <c r="D170" s="16" t="s">
        <v>2251</v>
      </c>
      <c r="E170" s="16" t="s">
        <v>884</v>
      </c>
      <c r="F170" s="21">
        <v>9780071834087</v>
      </c>
      <c r="G170" s="16" t="s">
        <v>1808</v>
      </c>
      <c r="H170" s="16" t="s">
        <v>13</v>
      </c>
      <c r="I170" s="16">
        <v>2012</v>
      </c>
      <c r="J170" s="16" t="s">
        <v>2252</v>
      </c>
      <c r="K170" s="16" t="s">
        <v>566</v>
      </c>
      <c r="L170" s="16" t="s">
        <v>15</v>
      </c>
      <c r="M170" s="16" t="s">
        <v>2253</v>
      </c>
      <c r="N170" s="16"/>
      <c r="O170" s="16"/>
    </row>
    <row r="171" spans="1:15" x14ac:dyDescent="0.3">
      <c r="A171" s="16">
        <v>170</v>
      </c>
      <c r="B171" s="16" t="s">
        <v>1641</v>
      </c>
      <c r="C171" s="16" t="str">
        <f>"V1955179003001"</f>
        <v>V1955179003001</v>
      </c>
      <c r="D171" s="16" t="s">
        <v>2254</v>
      </c>
      <c r="E171" s="16" t="s">
        <v>884</v>
      </c>
      <c r="F171" s="21">
        <v>9780071834087</v>
      </c>
      <c r="G171" s="16" t="s">
        <v>1808</v>
      </c>
      <c r="H171" s="16" t="s">
        <v>13</v>
      </c>
      <c r="I171" s="16">
        <v>2012</v>
      </c>
      <c r="J171" s="16" t="s">
        <v>2255</v>
      </c>
      <c r="K171" s="16" t="s">
        <v>1814</v>
      </c>
      <c r="L171" s="16" t="s">
        <v>15</v>
      </c>
      <c r="M171" s="16" t="s">
        <v>2256</v>
      </c>
      <c r="N171" s="16"/>
      <c r="O171" s="16"/>
    </row>
    <row r="172" spans="1:15" x14ac:dyDescent="0.3">
      <c r="A172" s="16">
        <v>171</v>
      </c>
      <c r="B172" s="16" t="s">
        <v>1641</v>
      </c>
      <c r="C172" s="16" t="str">
        <f>"V1955179005001"</f>
        <v>V1955179005001</v>
      </c>
      <c r="D172" s="16" t="s">
        <v>2257</v>
      </c>
      <c r="E172" s="16" t="s">
        <v>884</v>
      </c>
      <c r="F172" s="21">
        <v>9780071834087</v>
      </c>
      <c r="G172" s="16" t="s">
        <v>1808</v>
      </c>
      <c r="H172" s="16" t="s">
        <v>13</v>
      </c>
      <c r="I172" s="16">
        <v>2012</v>
      </c>
      <c r="J172" s="16" t="s">
        <v>2258</v>
      </c>
      <c r="K172" s="16" t="s">
        <v>2259</v>
      </c>
      <c r="L172" s="16" t="s">
        <v>15</v>
      </c>
      <c r="M172" s="16" t="s">
        <v>2260</v>
      </c>
      <c r="N172" s="16"/>
      <c r="O172" s="16"/>
    </row>
    <row r="173" spans="1:15" x14ac:dyDescent="0.3">
      <c r="A173" s="16">
        <v>172</v>
      </c>
      <c r="B173" s="16" t="s">
        <v>1641</v>
      </c>
      <c r="C173" s="16" t="str">
        <f>"V1955202416001"</f>
        <v>V1955202416001</v>
      </c>
      <c r="D173" s="16" t="s">
        <v>2261</v>
      </c>
      <c r="E173" s="16" t="s">
        <v>884</v>
      </c>
      <c r="F173" s="21">
        <v>9780071834087</v>
      </c>
      <c r="G173" s="16" t="s">
        <v>1808</v>
      </c>
      <c r="H173" s="16" t="s">
        <v>13</v>
      </c>
      <c r="I173" s="16">
        <v>2012</v>
      </c>
      <c r="J173" s="16" t="s">
        <v>2262</v>
      </c>
      <c r="K173" s="16" t="s">
        <v>2263</v>
      </c>
      <c r="L173" s="16" t="s">
        <v>15</v>
      </c>
      <c r="M173" s="16" t="s">
        <v>2264</v>
      </c>
      <c r="N173" s="16"/>
      <c r="O173" s="16"/>
    </row>
    <row r="174" spans="1:15" x14ac:dyDescent="0.3">
      <c r="A174" s="16">
        <v>173</v>
      </c>
      <c r="B174" s="16" t="s">
        <v>1641</v>
      </c>
      <c r="C174" s="16" t="str">
        <f>"V1955202420001"</f>
        <v>V1955202420001</v>
      </c>
      <c r="D174" s="16" t="s">
        <v>2265</v>
      </c>
      <c r="E174" s="16" t="s">
        <v>884</v>
      </c>
      <c r="F174" s="21">
        <v>9780071834087</v>
      </c>
      <c r="G174" s="16" t="s">
        <v>1808</v>
      </c>
      <c r="H174" s="16" t="s">
        <v>13</v>
      </c>
      <c r="I174" s="16">
        <v>2012</v>
      </c>
      <c r="J174" s="16" t="s">
        <v>2266</v>
      </c>
      <c r="K174" s="16" t="s">
        <v>2267</v>
      </c>
      <c r="L174" s="16" t="s">
        <v>15</v>
      </c>
      <c r="M174" s="16" t="s">
        <v>2268</v>
      </c>
      <c r="N174" s="16"/>
      <c r="O174" s="16"/>
    </row>
    <row r="175" spans="1:15" x14ac:dyDescent="0.3">
      <c r="A175" s="16">
        <v>174</v>
      </c>
      <c r="B175" s="16" t="s">
        <v>1641</v>
      </c>
      <c r="C175" s="16" t="str">
        <f>"V1955676332001"</f>
        <v>V1955676332001</v>
      </c>
      <c r="D175" s="16" t="s">
        <v>2269</v>
      </c>
      <c r="E175" s="16" t="s">
        <v>884</v>
      </c>
      <c r="F175" s="21">
        <v>9780071834087</v>
      </c>
      <c r="G175" s="16" t="s">
        <v>1808</v>
      </c>
      <c r="H175" s="16" t="s">
        <v>13</v>
      </c>
      <c r="I175" s="16">
        <v>2012</v>
      </c>
      <c r="J175" s="16" t="s">
        <v>2270</v>
      </c>
      <c r="K175" s="16" t="s">
        <v>38</v>
      </c>
      <c r="L175" s="16" t="s">
        <v>15</v>
      </c>
      <c r="M175" s="16" t="s">
        <v>2271</v>
      </c>
      <c r="N175" s="16"/>
      <c r="O175" s="16"/>
    </row>
    <row r="176" spans="1:15" x14ac:dyDescent="0.3">
      <c r="A176" s="16">
        <v>175</v>
      </c>
      <c r="B176" s="16" t="s">
        <v>1641</v>
      </c>
      <c r="C176" s="16" t="str">
        <f>"V1966442391001"</f>
        <v>V1966442391001</v>
      </c>
      <c r="D176" s="16" t="s">
        <v>2272</v>
      </c>
      <c r="E176" s="16" t="s">
        <v>884</v>
      </c>
      <c r="F176" s="21">
        <v>9780071834087</v>
      </c>
      <c r="G176" s="16" t="s">
        <v>1808</v>
      </c>
      <c r="H176" s="16" t="s">
        <v>13</v>
      </c>
      <c r="I176" s="16">
        <v>2012</v>
      </c>
      <c r="J176" s="16" t="s">
        <v>2273</v>
      </c>
      <c r="K176" s="16" t="s">
        <v>2274</v>
      </c>
      <c r="L176" s="16" t="s">
        <v>15</v>
      </c>
      <c r="M176" s="16" t="s">
        <v>2275</v>
      </c>
      <c r="N176" s="16"/>
      <c r="O176" s="16"/>
    </row>
    <row r="177" spans="1:15" x14ac:dyDescent="0.3">
      <c r="A177" s="16">
        <v>176</v>
      </c>
      <c r="B177" s="16" t="s">
        <v>1641</v>
      </c>
      <c r="C177" s="16" t="str">
        <f>"V2079655950001"</f>
        <v>V2079655950001</v>
      </c>
      <c r="D177" s="16" t="s">
        <v>2276</v>
      </c>
      <c r="E177" s="16" t="s">
        <v>2277</v>
      </c>
      <c r="F177" s="21" t="s">
        <v>2278</v>
      </c>
      <c r="G177" s="16" t="s">
        <v>1645</v>
      </c>
      <c r="H177" s="16" t="s">
        <v>13</v>
      </c>
      <c r="I177" s="16">
        <v>2012</v>
      </c>
      <c r="J177" s="16" t="s">
        <v>2279</v>
      </c>
      <c r="K177" s="16" t="s">
        <v>48</v>
      </c>
      <c r="L177" s="16" t="s">
        <v>15</v>
      </c>
      <c r="M177" s="16" t="s">
        <v>2280</v>
      </c>
      <c r="N177" s="16"/>
      <c r="O177" s="16"/>
    </row>
    <row r="178" spans="1:15" x14ac:dyDescent="0.3">
      <c r="A178" s="16">
        <v>177</v>
      </c>
      <c r="B178" s="16" t="s">
        <v>1641</v>
      </c>
      <c r="C178" s="16" t="str">
        <f>"V2079655952001"</f>
        <v>V2079655952001</v>
      </c>
      <c r="D178" s="16" t="s">
        <v>2281</v>
      </c>
      <c r="E178" s="16" t="s">
        <v>2277</v>
      </c>
      <c r="F178" s="21" t="s">
        <v>2278</v>
      </c>
      <c r="G178" s="16" t="s">
        <v>1645</v>
      </c>
      <c r="H178" s="16" t="s">
        <v>13</v>
      </c>
      <c r="I178" s="16">
        <v>2012</v>
      </c>
      <c r="J178" s="16" t="s">
        <v>2282</v>
      </c>
      <c r="K178" s="16" t="s">
        <v>2283</v>
      </c>
      <c r="L178" s="16" t="s">
        <v>15</v>
      </c>
      <c r="M178" s="16" t="s">
        <v>2284</v>
      </c>
      <c r="N178" s="16"/>
      <c r="O178" s="16"/>
    </row>
    <row r="179" spans="1:15" x14ac:dyDescent="0.3">
      <c r="A179" s="16">
        <v>178</v>
      </c>
      <c r="B179" s="16" t="s">
        <v>1641</v>
      </c>
      <c r="C179" s="16" t="str">
        <f>"V2079687210001"</f>
        <v>V2079687210001</v>
      </c>
      <c r="D179" s="16" t="s">
        <v>2285</v>
      </c>
      <c r="E179" s="16" t="s">
        <v>2277</v>
      </c>
      <c r="F179" s="21" t="s">
        <v>2278</v>
      </c>
      <c r="G179" s="16" t="s">
        <v>1645</v>
      </c>
      <c r="H179" s="16" t="s">
        <v>13</v>
      </c>
      <c r="I179" s="16">
        <v>2012</v>
      </c>
      <c r="J179" s="16" t="s">
        <v>404</v>
      </c>
      <c r="K179" s="16" t="s">
        <v>48</v>
      </c>
      <c r="L179" s="16" t="s">
        <v>15</v>
      </c>
      <c r="M179" s="16" t="s">
        <v>2286</v>
      </c>
      <c r="N179" s="16"/>
      <c r="O179" s="16"/>
    </row>
    <row r="180" spans="1:15" x14ac:dyDescent="0.3">
      <c r="A180" s="16">
        <v>179</v>
      </c>
      <c r="B180" s="16" t="s">
        <v>1641</v>
      </c>
      <c r="C180" s="16" t="str">
        <f>"V2079687211001"</f>
        <v>V2079687211001</v>
      </c>
      <c r="D180" s="16" t="s">
        <v>2287</v>
      </c>
      <c r="E180" s="16" t="s">
        <v>2277</v>
      </c>
      <c r="F180" s="21" t="s">
        <v>2278</v>
      </c>
      <c r="G180" s="16" t="s">
        <v>1645</v>
      </c>
      <c r="H180" s="16" t="s">
        <v>13</v>
      </c>
      <c r="I180" s="16">
        <v>2012</v>
      </c>
      <c r="J180" s="16" t="s">
        <v>2288</v>
      </c>
      <c r="K180" s="16" t="s">
        <v>2289</v>
      </c>
      <c r="L180" s="16" t="s">
        <v>15</v>
      </c>
      <c r="M180" s="16" t="s">
        <v>2290</v>
      </c>
      <c r="N180" s="16"/>
      <c r="O180" s="16"/>
    </row>
    <row r="181" spans="1:15" x14ac:dyDescent="0.3">
      <c r="A181" s="16">
        <v>180</v>
      </c>
      <c r="B181" s="16" t="s">
        <v>1641</v>
      </c>
      <c r="C181" s="16" t="str">
        <f>"V2079687212001"</f>
        <v>V2079687212001</v>
      </c>
      <c r="D181" s="16" t="s">
        <v>2291</v>
      </c>
      <c r="E181" s="16" t="s">
        <v>2277</v>
      </c>
      <c r="F181" s="21" t="s">
        <v>2278</v>
      </c>
      <c r="G181" s="16" t="s">
        <v>1645</v>
      </c>
      <c r="H181" s="16" t="s">
        <v>13</v>
      </c>
      <c r="I181" s="16">
        <v>2012</v>
      </c>
      <c r="J181" s="16" t="s">
        <v>2292</v>
      </c>
      <c r="K181" s="16" t="s">
        <v>2289</v>
      </c>
      <c r="L181" s="16" t="s">
        <v>15</v>
      </c>
      <c r="M181" s="16" t="s">
        <v>2293</v>
      </c>
      <c r="N181" s="16"/>
      <c r="O181" s="16"/>
    </row>
    <row r="182" spans="1:15" x14ac:dyDescent="0.3">
      <c r="A182" s="16">
        <v>181</v>
      </c>
      <c r="B182" s="16" t="s">
        <v>1641</v>
      </c>
      <c r="C182" s="16" t="str">
        <f>"V2079687213001"</f>
        <v>V2079687213001</v>
      </c>
      <c r="D182" s="16" t="s">
        <v>2294</v>
      </c>
      <c r="E182" s="16" t="s">
        <v>2277</v>
      </c>
      <c r="F182" s="21" t="s">
        <v>2278</v>
      </c>
      <c r="G182" s="16" t="s">
        <v>1645</v>
      </c>
      <c r="H182" s="16" t="s">
        <v>13</v>
      </c>
      <c r="I182" s="16">
        <v>2012</v>
      </c>
      <c r="J182" s="16" t="s">
        <v>2295</v>
      </c>
      <c r="K182" s="16" t="s">
        <v>48</v>
      </c>
      <c r="L182" s="16" t="s">
        <v>15</v>
      </c>
      <c r="M182" s="16" t="s">
        <v>2296</v>
      </c>
      <c r="N182" s="16"/>
      <c r="O182" s="16"/>
    </row>
    <row r="183" spans="1:15" x14ac:dyDescent="0.3">
      <c r="A183" s="16">
        <v>182</v>
      </c>
      <c r="B183" s="16" t="s">
        <v>1641</v>
      </c>
      <c r="C183" s="16" t="str">
        <f>"V2079687214001"</f>
        <v>V2079687214001</v>
      </c>
      <c r="D183" s="16" t="s">
        <v>2297</v>
      </c>
      <c r="E183" s="16" t="s">
        <v>2277</v>
      </c>
      <c r="F183" s="21" t="s">
        <v>2278</v>
      </c>
      <c r="G183" s="16" t="s">
        <v>1645</v>
      </c>
      <c r="H183" s="16" t="s">
        <v>13</v>
      </c>
      <c r="I183" s="16">
        <v>2012</v>
      </c>
      <c r="J183" s="16" t="s">
        <v>2298</v>
      </c>
      <c r="K183" s="16" t="s">
        <v>48</v>
      </c>
      <c r="L183" s="16" t="s">
        <v>15</v>
      </c>
      <c r="M183" s="16" t="s">
        <v>2299</v>
      </c>
      <c r="N183" s="16"/>
      <c r="O183" s="16"/>
    </row>
    <row r="184" spans="1:15" x14ac:dyDescent="0.3">
      <c r="A184" s="16">
        <v>183</v>
      </c>
      <c r="B184" s="16" t="s">
        <v>1641</v>
      </c>
      <c r="C184" s="16" t="str">
        <f>"V2079687216001"</f>
        <v>V2079687216001</v>
      </c>
      <c r="D184" s="16" t="s">
        <v>2300</v>
      </c>
      <c r="E184" s="16" t="s">
        <v>2277</v>
      </c>
      <c r="F184" s="21" t="s">
        <v>2278</v>
      </c>
      <c r="G184" s="16" t="s">
        <v>1645</v>
      </c>
      <c r="H184" s="16" t="s">
        <v>13</v>
      </c>
      <c r="I184" s="16">
        <v>2012</v>
      </c>
      <c r="J184" s="16" t="s">
        <v>2301</v>
      </c>
      <c r="K184" s="16" t="s">
        <v>1647</v>
      </c>
      <c r="L184" s="16" t="s">
        <v>15</v>
      </c>
      <c r="M184" s="16" t="s">
        <v>2302</v>
      </c>
      <c r="N184" s="16"/>
      <c r="O184" s="16"/>
    </row>
    <row r="185" spans="1:15" x14ac:dyDescent="0.3">
      <c r="A185" s="16">
        <v>184</v>
      </c>
      <c r="B185" s="16" t="s">
        <v>1641</v>
      </c>
      <c r="C185" s="16" t="str">
        <f>"V2079687217001"</f>
        <v>V2079687217001</v>
      </c>
      <c r="D185" s="16" t="s">
        <v>2303</v>
      </c>
      <c r="E185" s="16" t="s">
        <v>2277</v>
      </c>
      <c r="F185" s="21" t="s">
        <v>2278</v>
      </c>
      <c r="G185" s="16" t="s">
        <v>1645</v>
      </c>
      <c r="H185" s="16" t="s">
        <v>13</v>
      </c>
      <c r="I185" s="16">
        <v>2012</v>
      </c>
      <c r="J185" s="16" t="s">
        <v>2279</v>
      </c>
      <c r="K185" s="16" t="s">
        <v>48</v>
      </c>
      <c r="L185" s="16" t="s">
        <v>15</v>
      </c>
      <c r="M185" s="16" t="s">
        <v>2304</v>
      </c>
      <c r="N185" s="16"/>
      <c r="O185" s="16"/>
    </row>
    <row r="186" spans="1:15" x14ac:dyDescent="0.3">
      <c r="A186" s="16">
        <v>185</v>
      </c>
      <c r="B186" s="16" t="s">
        <v>1641</v>
      </c>
      <c r="C186" s="16" t="str">
        <f>"V2079687218001"</f>
        <v>V2079687218001</v>
      </c>
      <c r="D186" s="16" t="s">
        <v>2305</v>
      </c>
      <c r="E186" s="16" t="s">
        <v>2277</v>
      </c>
      <c r="F186" s="21" t="s">
        <v>2278</v>
      </c>
      <c r="G186" s="16" t="s">
        <v>1645</v>
      </c>
      <c r="H186" s="16" t="s">
        <v>13</v>
      </c>
      <c r="I186" s="16">
        <v>2012</v>
      </c>
      <c r="J186" s="16" t="s">
        <v>2306</v>
      </c>
      <c r="K186" s="16" t="s">
        <v>1647</v>
      </c>
      <c r="L186" s="16" t="s">
        <v>15</v>
      </c>
      <c r="M186" s="16" t="s">
        <v>2307</v>
      </c>
      <c r="N186" s="16"/>
      <c r="O186" s="16"/>
    </row>
    <row r="187" spans="1:15" x14ac:dyDescent="0.3">
      <c r="A187" s="16">
        <v>186</v>
      </c>
      <c r="B187" s="16" t="s">
        <v>1641</v>
      </c>
      <c r="C187" s="16" t="str">
        <f>"V2079718280001"</f>
        <v>V2079718280001</v>
      </c>
      <c r="D187" s="16" t="s">
        <v>2308</v>
      </c>
      <c r="E187" s="16" t="s">
        <v>2277</v>
      </c>
      <c r="F187" s="21" t="s">
        <v>2278</v>
      </c>
      <c r="G187" s="16" t="s">
        <v>1645</v>
      </c>
      <c r="H187" s="16" t="s">
        <v>13</v>
      </c>
      <c r="I187" s="16">
        <v>2012</v>
      </c>
      <c r="J187" s="16" t="s">
        <v>2309</v>
      </c>
      <c r="K187" s="16" t="s">
        <v>48</v>
      </c>
      <c r="L187" s="16" t="s">
        <v>15</v>
      </c>
      <c r="M187" s="16" t="s">
        <v>2310</v>
      </c>
      <c r="N187" s="16"/>
      <c r="O187" s="16"/>
    </row>
    <row r="188" spans="1:15" x14ac:dyDescent="0.3">
      <c r="A188" s="16">
        <v>187</v>
      </c>
      <c r="B188" s="16" t="s">
        <v>1641</v>
      </c>
      <c r="C188" s="16" t="str">
        <f>"V2079718281001"</f>
        <v>V2079718281001</v>
      </c>
      <c r="D188" s="16" t="s">
        <v>2311</v>
      </c>
      <c r="E188" s="16" t="s">
        <v>2277</v>
      </c>
      <c r="F188" s="21" t="s">
        <v>2278</v>
      </c>
      <c r="G188" s="16" t="s">
        <v>1645</v>
      </c>
      <c r="H188" s="16" t="s">
        <v>13</v>
      </c>
      <c r="I188" s="16">
        <v>2012</v>
      </c>
      <c r="J188" s="16" t="s">
        <v>2312</v>
      </c>
      <c r="K188" s="16" t="s">
        <v>48</v>
      </c>
      <c r="L188" s="16" t="s">
        <v>15</v>
      </c>
      <c r="M188" s="16" t="s">
        <v>2313</v>
      </c>
      <c r="N188" s="16"/>
      <c r="O188" s="16"/>
    </row>
    <row r="189" spans="1:15" x14ac:dyDescent="0.3">
      <c r="A189" s="16">
        <v>188</v>
      </c>
      <c r="B189" s="16" t="s">
        <v>1641</v>
      </c>
      <c r="C189" s="16" t="str">
        <f>"V2079718284001"</f>
        <v>V2079718284001</v>
      </c>
      <c r="D189" s="16" t="s">
        <v>2314</v>
      </c>
      <c r="E189" s="16" t="s">
        <v>2277</v>
      </c>
      <c r="F189" s="21" t="s">
        <v>2278</v>
      </c>
      <c r="G189" s="16" t="s">
        <v>1645</v>
      </c>
      <c r="H189" s="16" t="s">
        <v>13</v>
      </c>
      <c r="I189" s="16">
        <v>2012</v>
      </c>
      <c r="J189" s="16" t="s">
        <v>2315</v>
      </c>
      <c r="K189" s="16" t="s">
        <v>2289</v>
      </c>
      <c r="L189" s="16" t="s">
        <v>15</v>
      </c>
      <c r="M189" s="16" t="s">
        <v>2316</v>
      </c>
      <c r="N189" s="16"/>
      <c r="O189" s="16"/>
    </row>
    <row r="190" spans="1:15" x14ac:dyDescent="0.3">
      <c r="A190" s="16">
        <v>189</v>
      </c>
      <c r="B190" s="16" t="s">
        <v>1641</v>
      </c>
      <c r="C190" s="16" t="str">
        <f>"V2079718285001"</f>
        <v>V2079718285001</v>
      </c>
      <c r="D190" s="16" t="s">
        <v>2317</v>
      </c>
      <c r="E190" s="16" t="s">
        <v>2277</v>
      </c>
      <c r="F190" s="21" t="s">
        <v>2278</v>
      </c>
      <c r="G190" s="16" t="s">
        <v>1645</v>
      </c>
      <c r="H190" s="16" t="s">
        <v>13</v>
      </c>
      <c r="I190" s="16">
        <v>2012</v>
      </c>
      <c r="J190" s="16" t="s">
        <v>2318</v>
      </c>
      <c r="K190" s="16" t="s">
        <v>1647</v>
      </c>
      <c r="L190" s="16" t="s">
        <v>15</v>
      </c>
      <c r="M190" s="16" t="s">
        <v>2319</v>
      </c>
      <c r="N190" s="16"/>
      <c r="O190" s="16"/>
    </row>
    <row r="191" spans="1:15" x14ac:dyDescent="0.3">
      <c r="A191" s="16">
        <v>190</v>
      </c>
      <c r="B191" s="16" t="s">
        <v>1641</v>
      </c>
      <c r="C191" s="16" t="str">
        <f>"V2079718288001"</f>
        <v>V2079718288001</v>
      </c>
      <c r="D191" s="16" t="s">
        <v>2320</v>
      </c>
      <c r="E191" s="16" t="s">
        <v>2277</v>
      </c>
      <c r="F191" s="21" t="s">
        <v>2278</v>
      </c>
      <c r="G191" s="16" t="s">
        <v>1645</v>
      </c>
      <c r="H191" s="16" t="s">
        <v>13</v>
      </c>
      <c r="I191" s="16">
        <v>2012</v>
      </c>
      <c r="J191" s="16" t="s">
        <v>2321</v>
      </c>
      <c r="K191" s="16" t="s">
        <v>2289</v>
      </c>
      <c r="L191" s="16" t="s">
        <v>15</v>
      </c>
      <c r="M191" s="16" t="s">
        <v>2322</v>
      </c>
      <c r="N191" s="16"/>
      <c r="O191" s="16"/>
    </row>
    <row r="192" spans="1:15" x14ac:dyDescent="0.3">
      <c r="A192" s="16">
        <v>191</v>
      </c>
      <c r="B192" s="16" t="s">
        <v>1641</v>
      </c>
      <c r="C192" s="16" t="str">
        <f>"V2079718292001"</f>
        <v>V2079718292001</v>
      </c>
      <c r="D192" s="16" t="s">
        <v>2323</v>
      </c>
      <c r="E192" s="16" t="s">
        <v>2277</v>
      </c>
      <c r="F192" s="21" t="s">
        <v>2278</v>
      </c>
      <c r="G192" s="16" t="s">
        <v>1645</v>
      </c>
      <c r="H192" s="16" t="s">
        <v>13</v>
      </c>
      <c r="I192" s="16">
        <v>2012</v>
      </c>
      <c r="J192" s="16" t="s">
        <v>2279</v>
      </c>
      <c r="K192" s="16" t="s">
        <v>48</v>
      </c>
      <c r="L192" s="16" t="s">
        <v>15</v>
      </c>
      <c r="M192" s="16" t="s">
        <v>2324</v>
      </c>
      <c r="N192" s="16"/>
      <c r="O192" s="16"/>
    </row>
    <row r="193" spans="1:15" x14ac:dyDescent="0.3">
      <c r="A193" s="16">
        <v>192</v>
      </c>
      <c r="B193" s="16" t="s">
        <v>1641</v>
      </c>
      <c r="C193" s="16" t="str">
        <f>"V2079718294001"</f>
        <v>V2079718294001</v>
      </c>
      <c r="D193" s="16" t="s">
        <v>2325</v>
      </c>
      <c r="E193" s="16" t="s">
        <v>2277</v>
      </c>
      <c r="F193" s="21" t="s">
        <v>2278</v>
      </c>
      <c r="G193" s="16" t="s">
        <v>1645</v>
      </c>
      <c r="H193" s="16" t="s">
        <v>13</v>
      </c>
      <c r="I193" s="16">
        <v>2012</v>
      </c>
      <c r="J193" s="16" t="s">
        <v>2326</v>
      </c>
      <c r="K193" s="16" t="s">
        <v>48</v>
      </c>
      <c r="L193" s="16" t="s">
        <v>15</v>
      </c>
      <c r="M193" s="16" t="s">
        <v>2327</v>
      </c>
      <c r="N193" s="16"/>
      <c r="O193" s="16"/>
    </row>
    <row r="194" spans="1:15" x14ac:dyDescent="0.3">
      <c r="A194" s="16">
        <v>193</v>
      </c>
      <c r="B194" s="16" t="s">
        <v>1641</v>
      </c>
      <c r="C194" s="16" t="str">
        <f>"V2079718296001"</f>
        <v>V2079718296001</v>
      </c>
      <c r="D194" s="16" t="s">
        <v>2328</v>
      </c>
      <c r="E194" s="16" t="s">
        <v>2277</v>
      </c>
      <c r="F194" s="21" t="s">
        <v>2278</v>
      </c>
      <c r="G194" s="16" t="s">
        <v>1645</v>
      </c>
      <c r="H194" s="16" t="s">
        <v>13</v>
      </c>
      <c r="I194" s="16">
        <v>2012</v>
      </c>
      <c r="J194" s="16" t="s">
        <v>2329</v>
      </c>
      <c r="K194" s="16" t="s">
        <v>48</v>
      </c>
      <c r="L194" s="16" t="s">
        <v>15</v>
      </c>
      <c r="M194" s="16" t="s">
        <v>2330</v>
      </c>
      <c r="N194" s="16"/>
      <c r="O194" s="16"/>
    </row>
    <row r="195" spans="1:15" x14ac:dyDescent="0.3">
      <c r="A195" s="16">
        <v>194</v>
      </c>
      <c r="B195" s="16" t="s">
        <v>1641</v>
      </c>
      <c r="C195" s="16" t="str">
        <f>"V2079718297001"</f>
        <v>V2079718297001</v>
      </c>
      <c r="D195" s="16" t="s">
        <v>2331</v>
      </c>
      <c r="E195" s="16" t="s">
        <v>2277</v>
      </c>
      <c r="F195" s="21" t="s">
        <v>2278</v>
      </c>
      <c r="G195" s="16" t="s">
        <v>1645</v>
      </c>
      <c r="H195" s="16" t="s">
        <v>13</v>
      </c>
      <c r="I195" s="16">
        <v>2012</v>
      </c>
      <c r="J195" s="16" t="s">
        <v>2332</v>
      </c>
      <c r="K195" s="16" t="s">
        <v>1647</v>
      </c>
      <c r="L195" s="16" t="s">
        <v>15</v>
      </c>
      <c r="M195" s="16" t="s">
        <v>2333</v>
      </c>
      <c r="N195" s="16"/>
      <c r="O195" s="16"/>
    </row>
    <row r="196" spans="1:15" x14ac:dyDescent="0.3">
      <c r="A196" s="16">
        <v>195</v>
      </c>
      <c r="B196" s="16" t="s">
        <v>1641</v>
      </c>
      <c r="C196" s="16" t="str">
        <f>"V2079728774001"</f>
        <v>V2079728774001</v>
      </c>
      <c r="D196" s="16" t="s">
        <v>2334</v>
      </c>
      <c r="E196" s="16" t="s">
        <v>2277</v>
      </c>
      <c r="F196" s="21" t="s">
        <v>2278</v>
      </c>
      <c r="G196" s="16" t="s">
        <v>1645</v>
      </c>
      <c r="H196" s="16" t="s">
        <v>13</v>
      </c>
      <c r="I196" s="16">
        <v>2012</v>
      </c>
      <c r="J196" s="16" t="s">
        <v>404</v>
      </c>
      <c r="K196" s="16" t="s">
        <v>48</v>
      </c>
      <c r="L196" s="16" t="s">
        <v>15</v>
      </c>
      <c r="M196" s="16" t="s">
        <v>2335</v>
      </c>
      <c r="N196" s="16"/>
      <c r="O196" s="16"/>
    </row>
    <row r="197" spans="1:15" x14ac:dyDescent="0.3">
      <c r="A197" s="16">
        <v>196</v>
      </c>
      <c r="B197" s="16" t="s">
        <v>1641</v>
      </c>
      <c r="C197" s="16" t="str">
        <f>"V2079728776001"</f>
        <v>V2079728776001</v>
      </c>
      <c r="D197" s="16" t="s">
        <v>2336</v>
      </c>
      <c r="E197" s="16" t="s">
        <v>2277</v>
      </c>
      <c r="F197" s="21" t="s">
        <v>2278</v>
      </c>
      <c r="G197" s="16" t="s">
        <v>1645</v>
      </c>
      <c r="H197" s="16" t="s">
        <v>13</v>
      </c>
      <c r="I197" s="16">
        <v>2012</v>
      </c>
      <c r="J197" s="16" t="s">
        <v>2337</v>
      </c>
      <c r="K197" s="16" t="s">
        <v>2289</v>
      </c>
      <c r="L197" s="16" t="s">
        <v>15</v>
      </c>
      <c r="M197" s="16" t="s">
        <v>2338</v>
      </c>
      <c r="N197" s="16"/>
      <c r="O197" s="16"/>
    </row>
    <row r="198" spans="1:15" x14ac:dyDescent="0.3">
      <c r="A198" s="16">
        <v>197</v>
      </c>
      <c r="B198" s="16" t="s">
        <v>1641</v>
      </c>
      <c r="C198" s="16" t="str">
        <f>"V2079728778001"</f>
        <v>V2079728778001</v>
      </c>
      <c r="D198" s="16" t="s">
        <v>2339</v>
      </c>
      <c r="E198" s="16" t="s">
        <v>2277</v>
      </c>
      <c r="F198" s="21" t="s">
        <v>2278</v>
      </c>
      <c r="G198" s="16" t="s">
        <v>1645</v>
      </c>
      <c r="H198" s="16" t="s">
        <v>13</v>
      </c>
      <c r="I198" s="16">
        <v>2012</v>
      </c>
      <c r="J198" s="16" t="s">
        <v>2340</v>
      </c>
      <c r="K198" s="16" t="s">
        <v>48</v>
      </c>
      <c r="L198" s="16" t="s">
        <v>15</v>
      </c>
      <c r="M198" s="16" t="s">
        <v>2341</v>
      </c>
      <c r="N198" s="16"/>
      <c r="O198" s="16"/>
    </row>
    <row r="199" spans="1:15" x14ac:dyDescent="0.3">
      <c r="A199" s="16">
        <v>198</v>
      </c>
      <c r="B199" s="16" t="s">
        <v>1641</v>
      </c>
      <c r="C199" s="16" t="str">
        <f>"V2079728779001"</f>
        <v>V2079728779001</v>
      </c>
      <c r="D199" s="16" t="s">
        <v>2342</v>
      </c>
      <c r="E199" s="16" t="s">
        <v>2277</v>
      </c>
      <c r="F199" s="21" t="s">
        <v>2278</v>
      </c>
      <c r="G199" s="16" t="s">
        <v>1645</v>
      </c>
      <c r="H199" s="16" t="s">
        <v>13</v>
      </c>
      <c r="I199" s="16">
        <v>2012</v>
      </c>
      <c r="J199" s="16" t="s">
        <v>2343</v>
      </c>
      <c r="K199" s="16" t="s">
        <v>48</v>
      </c>
      <c r="L199" s="16" t="s">
        <v>15</v>
      </c>
      <c r="M199" s="16" t="s">
        <v>2344</v>
      </c>
      <c r="N199" s="16"/>
      <c r="O199" s="16"/>
    </row>
    <row r="200" spans="1:15" x14ac:dyDescent="0.3">
      <c r="A200" s="16">
        <v>199</v>
      </c>
      <c r="B200" s="16" t="s">
        <v>1641</v>
      </c>
      <c r="C200" s="16" t="str">
        <f>"V2079728780001"</f>
        <v>V2079728780001</v>
      </c>
      <c r="D200" s="16" t="s">
        <v>2345</v>
      </c>
      <c r="E200" s="16" t="s">
        <v>2277</v>
      </c>
      <c r="F200" s="21" t="s">
        <v>2278</v>
      </c>
      <c r="G200" s="16" t="s">
        <v>1645</v>
      </c>
      <c r="H200" s="16" t="s">
        <v>13</v>
      </c>
      <c r="I200" s="16">
        <v>2012</v>
      </c>
      <c r="J200" s="16" t="s">
        <v>404</v>
      </c>
      <c r="K200" s="16" t="s">
        <v>48</v>
      </c>
      <c r="L200" s="16" t="s">
        <v>15</v>
      </c>
      <c r="M200" s="16" t="s">
        <v>2346</v>
      </c>
      <c r="N200" s="16"/>
      <c r="O200" s="16"/>
    </row>
    <row r="201" spans="1:15" x14ac:dyDescent="0.3">
      <c r="A201" s="16">
        <v>200</v>
      </c>
      <c r="B201" s="16" t="s">
        <v>1641</v>
      </c>
      <c r="C201" s="16" t="str">
        <f>"V2079728781001"</f>
        <v>V2079728781001</v>
      </c>
      <c r="D201" s="16" t="s">
        <v>2347</v>
      </c>
      <c r="E201" s="16" t="s">
        <v>2277</v>
      </c>
      <c r="F201" s="21" t="s">
        <v>2278</v>
      </c>
      <c r="G201" s="16" t="s">
        <v>1645</v>
      </c>
      <c r="H201" s="16" t="s">
        <v>13</v>
      </c>
      <c r="I201" s="16">
        <v>2012</v>
      </c>
      <c r="J201" s="16" t="s">
        <v>2348</v>
      </c>
      <c r="K201" s="16" t="s">
        <v>48</v>
      </c>
      <c r="L201" s="16" t="s">
        <v>15</v>
      </c>
      <c r="M201" s="16" t="s">
        <v>2349</v>
      </c>
      <c r="N201" s="16"/>
      <c r="O201" s="16"/>
    </row>
    <row r="202" spans="1:15" x14ac:dyDescent="0.3">
      <c r="A202" s="16">
        <v>201</v>
      </c>
      <c r="B202" s="16" t="s">
        <v>1641</v>
      </c>
      <c r="C202" s="16" t="str">
        <f>"V2079860872001"</f>
        <v>V2079860872001</v>
      </c>
      <c r="D202" s="16" t="s">
        <v>2350</v>
      </c>
      <c r="E202" s="16" t="s">
        <v>2351</v>
      </c>
      <c r="F202" s="21" t="s">
        <v>2352</v>
      </c>
      <c r="G202" s="16" t="s">
        <v>1645</v>
      </c>
      <c r="H202" s="16" t="s">
        <v>13</v>
      </c>
      <c r="I202" s="16">
        <v>2012</v>
      </c>
      <c r="J202" s="16" t="s">
        <v>2353</v>
      </c>
      <c r="K202" s="16" t="s">
        <v>2354</v>
      </c>
      <c r="L202" s="16" t="s">
        <v>15</v>
      </c>
      <c r="M202" s="16" t="s">
        <v>2355</v>
      </c>
      <c r="N202" s="16"/>
      <c r="O202" s="16"/>
    </row>
    <row r="203" spans="1:15" x14ac:dyDescent="0.3">
      <c r="A203" s="16">
        <v>202</v>
      </c>
      <c r="B203" s="16" t="s">
        <v>1641</v>
      </c>
      <c r="C203" s="16" t="str">
        <f>"V2079860873001"</f>
        <v>V2079860873001</v>
      </c>
      <c r="D203" s="16" t="s">
        <v>2356</v>
      </c>
      <c r="E203" s="16" t="s">
        <v>2351</v>
      </c>
      <c r="F203" s="21" t="s">
        <v>2352</v>
      </c>
      <c r="G203" s="16" t="s">
        <v>1645</v>
      </c>
      <c r="H203" s="16" t="s">
        <v>13</v>
      </c>
      <c r="I203" s="16">
        <v>2012</v>
      </c>
      <c r="J203" s="16" t="s">
        <v>2357</v>
      </c>
      <c r="K203" s="16" t="s">
        <v>48</v>
      </c>
      <c r="L203" s="16" t="s">
        <v>15</v>
      </c>
      <c r="M203" s="16" t="s">
        <v>2358</v>
      </c>
      <c r="N203" s="16"/>
      <c r="O203" s="16"/>
    </row>
    <row r="204" spans="1:15" x14ac:dyDescent="0.3">
      <c r="A204" s="16">
        <v>203</v>
      </c>
      <c r="B204" s="16" t="s">
        <v>1641</v>
      </c>
      <c r="C204" s="16" t="str">
        <f>"V2079860874001"</f>
        <v>V2079860874001</v>
      </c>
      <c r="D204" s="16" t="s">
        <v>2359</v>
      </c>
      <c r="E204" s="16" t="s">
        <v>2351</v>
      </c>
      <c r="F204" s="21" t="s">
        <v>2352</v>
      </c>
      <c r="G204" s="16" t="s">
        <v>1645</v>
      </c>
      <c r="H204" s="16" t="s">
        <v>13</v>
      </c>
      <c r="I204" s="16">
        <v>2012</v>
      </c>
      <c r="J204" s="16" t="s">
        <v>1139</v>
      </c>
      <c r="K204" s="16" t="s">
        <v>48</v>
      </c>
      <c r="L204" s="16" t="s">
        <v>15</v>
      </c>
      <c r="M204" s="16" t="s">
        <v>2360</v>
      </c>
      <c r="N204" s="16"/>
      <c r="O204" s="16"/>
    </row>
    <row r="205" spans="1:15" x14ac:dyDescent="0.3">
      <c r="A205" s="16">
        <v>204</v>
      </c>
      <c r="B205" s="16" t="s">
        <v>1641</v>
      </c>
      <c r="C205" s="16" t="str">
        <f>"V2079860875001"</f>
        <v>V2079860875001</v>
      </c>
      <c r="D205" s="16" t="s">
        <v>2361</v>
      </c>
      <c r="E205" s="16" t="s">
        <v>2351</v>
      </c>
      <c r="F205" s="21" t="s">
        <v>2352</v>
      </c>
      <c r="G205" s="16" t="s">
        <v>1645</v>
      </c>
      <c r="H205" s="16" t="s">
        <v>13</v>
      </c>
      <c r="I205" s="16">
        <v>2012</v>
      </c>
      <c r="J205" s="16" t="s">
        <v>2362</v>
      </c>
      <c r="K205" s="16" t="s">
        <v>48</v>
      </c>
      <c r="L205" s="16" t="s">
        <v>15</v>
      </c>
      <c r="M205" s="16" t="s">
        <v>2363</v>
      </c>
      <c r="N205" s="16"/>
      <c r="O205" s="16"/>
    </row>
    <row r="206" spans="1:15" x14ac:dyDescent="0.3">
      <c r="A206" s="16">
        <v>205</v>
      </c>
      <c r="B206" s="16" t="s">
        <v>1641</v>
      </c>
      <c r="C206" s="16" t="str">
        <f>"V2079860877001"</f>
        <v>V2079860877001</v>
      </c>
      <c r="D206" s="16" t="s">
        <v>2364</v>
      </c>
      <c r="E206" s="16" t="s">
        <v>2351</v>
      </c>
      <c r="F206" s="21" t="s">
        <v>2352</v>
      </c>
      <c r="G206" s="16" t="s">
        <v>1645</v>
      </c>
      <c r="H206" s="16" t="s">
        <v>13</v>
      </c>
      <c r="I206" s="16">
        <v>2012</v>
      </c>
      <c r="J206" s="16" t="s">
        <v>2365</v>
      </c>
      <c r="K206" s="16" t="s">
        <v>48</v>
      </c>
      <c r="L206" s="16" t="s">
        <v>15</v>
      </c>
      <c r="M206" s="16" t="s">
        <v>2366</v>
      </c>
      <c r="N206" s="16"/>
      <c r="O206" s="16"/>
    </row>
    <row r="207" spans="1:15" x14ac:dyDescent="0.3">
      <c r="A207" s="16">
        <v>206</v>
      </c>
      <c r="B207" s="16" t="s">
        <v>1641</v>
      </c>
      <c r="C207" s="16" t="str">
        <f>"V2079860879001"</f>
        <v>V2079860879001</v>
      </c>
      <c r="D207" s="16" t="s">
        <v>2367</v>
      </c>
      <c r="E207" s="16" t="s">
        <v>2351</v>
      </c>
      <c r="F207" s="21" t="s">
        <v>2352</v>
      </c>
      <c r="G207" s="16" t="s">
        <v>1645</v>
      </c>
      <c r="H207" s="16" t="s">
        <v>13</v>
      </c>
      <c r="I207" s="16">
        <v>2012</v>
      </c>
      <c r="J207" s="16" t="s">
        <v>2368</v>
      </c>
      <c r="K207" s="16" t="s">
        <v>48</v>
      </c>
      <c r="L207" s="16" t="s">
        <v>15</v>
      </c>
      <c r="M207" s="16" t="s">
        <v>2369</v>
      </c>
      <c r="N207" s="16"/>
      <c r="O207" s="16"/>
    </row>
    <row r="208" spans="1:15" x14ac:dyDescent="0.3">
      <c r="A208" s="16">
        <v>207</v>
      </c>
      <c r="B208" s="16" t="s">
        <v>1641</v>
      </c>
      <c r="C208" s="16" t="str">
        <f>"V2079860880001"</f>
        <v>V2079860880001</v>
      </c>
      <c r="D208" s="16" t="s">
        <v>2370</v>
      </c>
      <c r="E208" s="16" t="s">
        <v>2351</v>
      </c>
      <c r="F208" s="21" t="s">
        <v>2352</v>
      </c>
      <c r="G208" s="16" t="s">
        <v>1645</v>
      </c>
      <c r="H208" s="16" t="s">
        <v>13</v>
      </c>
      <c r="I208" s="16">
        <v>2012</v>
      </c>
      <c r="J208" s="16" t="s">
        <v>2368</v>
      </c>
      <c r="K208" s="16" t="s">
        <v>48</v>
      </c>
      <c r="L208" s="16" t="s">
        <v>15</v>
      </c>
      <c r="M208" s="16" t="s">
        <v>2371</v>
      </c>
      <c r="N208" s="16"/>
      <c r="O208" s="16"/>
    </row>
    <row r="209" spans="1:15" x14ac:dyDescent="0.3">
      <c r="A209" s="16">
        <v>208</v>
      </c>
      <c r="B209" s="16" t="s">
        <v>1641</v>
      </c>
      <c r="C209" s="16" t="str">
        <f>"V2079862875001"</f>
        <v>V2079862875001</v>
      </c>
      <c r="D209" s="16" t="s">
        <v>2372</v>
      </c>
      <c r="E209" s="16" t="s">
        <v>2351</v>
      </c>
      <c r="F209" s="21" t="s">
        <v>2352</v>
      </c>
      <c r="G209" s="16" t="s">
        <v>1645</v>
      </c>
      <c r="H209" s="16" t="s">
        <v>13</v>
      </c>
      <c r="I209" s="16">
        <v>2012</v>
      </c>
      <c r="J209" s="16" t="s">
        <v>2373</v>
      </c>
      <c r="K209" s="16" t="s">
        <v>1647</v>
      </c>
      <c r="L209" s="16" t="s">
        <v>15</v>
      </c>
      <c r="M209" s="16" t="s">
        <v>2374</v>
      </c>
      <c r="N209" s="16"/>
      <c r="O209" s="16"/>
    </row>
    <row r="210" spans="1:15" x14ac:dyDescent="0.3">
      <c r="A210" s="16">
        <v>209</v>
      </c>
      <c r="B210" s="16" t="s">
        <v>1641</v>
      </c>
      <c r="C210" s="16" t="str">
        <f>"V2079862877001"</f>
        <v>V2079862877001</v>
      </c>
      <c r="D210" s="16" t="s">
        <v>2375</v>
      </c>
      <c r="E210" s="16" t="s">
        <v>2351</v>
      </c>
      <c r="F210" s="21" t="s">
        <v>2352</v>
      </c>
      <c r="G210" s="16" t="s">
        <v>1645</v>
      </c>
      <c r="H210" s="16" t="s">
        <v>13</v>
      </c>
      <c r="I210" s="16">
        <v>2012</v>
      </c>
      <c r="J210" s="16" t="s">
        <v>2368</v>
      </c>
      <c r="K210" s="16" t="s">
        <v>48</v>
      </c>
      <c r="L210" s="16" t="s">
        <v>15</v>
      </c>
      <c r="M210" s="16" t="s">
        <v>2376</v>
      </c>
      <c r="N210" s="16"/>
      <c r="O210" s="16"/>
    </row>
    <row r="211" spans="1:15" x14ac:dyDescent="0.3">
      <c r="A211" s="16">
        <v>210</v>
      </c>
      <c r="B211" s="16" t="s">
        <v>1641</v>
      </c>
      <c r="C211" s="16" t="str">
        <f>"V2079862879001"</f>
        <v>V2079862879001</v>
      </c>
      <c r="D211" s="16" t="s">
        <v>2377</v>
      </c>
      <c r="E211" s="16" t="s">
        <v>2351</v>
      </c>
      <c r="F211" s="21" t="s">
        <v>2352</v>
      </c>
      <c r="G211" s="16" t="s">
        <v>1645</v>
      </c>
      <c r="H211" s="16" t="s">
        <v>13</v>
      </c>
      <c r="I211" s="16">
        <v>2012</v>
      </c>
      <c r="J211" s="16" t="s">
        <v>2378</v>
      </c>
      <c r="K211" s="16" t="s">
        <v>48</v>
      </c>
      <c r="L211" s="16" t="s">
        <v>15</v>
      </c>
      <c r="M211" s="16" t="s">
        <v>2379</v>
      </c>
      <c r="N211" s="16"/>
      <c r="O211" s="16"/>
    </row>
    <row r="212" spans="1:15" x14ac:dyDescent="0.3">
      <c r="A212" s="16">
        <v>211</v>
      </c>
      <c r="B212" s="16" t="s">
        <v>1641</v>
      </c>
      <c r="C212" s="16" t="str">
        <f>"V2079862880001"</f>
        <v>V2079862880001</v>
      </c>
      <c r="D212" s="16" t="s">
        <v>2380</v>
      </c>
      <c r="E212" s="16" t="s">
        <v>2351</v>
      </c>
      <c r="F212" s="21" t="s">
        <v>2352</v>
      </c>
      <c r="G212" s="16" t="s">
        <v>1645</v>
      </c>
      <c r="H212" s="16" t="s">
        <v>13</v>
      </c>
      <c r="I212" s="16">
        <v>2012</v>
      </c>
      <c r="J212" s="16" t="s">
        <v>2381</v>
      </c>
      <c r="K212" s="16" t="s">
        <v>48</v>
      </c>
      <c r="L212" s="16" t="s">
        <v>15</v>
      </c>
      <c r="M212" s="16" t="s">
        <v>2382</v>
      </c>
      <c r="N212" s="16"/>
      <c r="O212" s="16"/>
    </row>
    <row r="213" spans="1:15" x14ac:dyDescent="0.3">
      <c r="A213" s="16">
        <v>212</v>
      </c>
      <c r="B213" s="16" t="s">
        <v>1641</v>
      </c>
      <c r="C213" s="16" t="str">
        <f>"V2079862881001"</f>
        <v>V2079862881001</v>
      </c>
      <c r="D213" s="16" t="s">
        <v>2383</v>
      </c>
      <c r="E213" s="16" t="s">
        <v>2351</v>
      </c>
      <c r="F213" s="21" t="s">
        <v>2352</v>
      </c>
      <c r="G213" s="16" t="s">
        <v>1645</v>
      </c>
      <c r="H213" s="16" t="s">
        <v>13</v>
      </c>
      <c r="I213" s="16">
        <v>2012</v>
      </c>
      <c r="J213" s="16" t="s">
        <v>2384</v>
      </c>
      <c r="K213" s="16" t="s">
        <v>48</v>
      </c>
      <c r="L213" s="16" t="s">
        <v>15</v>
      </c>
      <c r="M213" s="16" t="s">
        <v>2385</v>
      </c>
      <c r="N213" s="16"/>
      <c r="O213" s="16"/>
    </row>
    <row r="214" spans="1:15" x14ac:dyDescent="0.3">
      <c r="A214" s="16">
        <v>213</v>
      </c>
      <c r="B214" s="16" t="s">
        <v>1641</v>
      </c>
      <c r="C214" s="16" t="str">
        <f>"V2079862882001"</f>
        <v>V2079862882001</v>
      </c>
      <c r="D214" s="16" t="s">
        <v>2386</v>
      </c>
      <c r="E214" s="16" t="s">
        <v>2351</v>
      </c>
      <c r="F214" s="21" t="s">
        <v>2352</v>
      </c>
      <c r="G214" s="16" t="s">
        <v>1645</v>
      </c>
      <c r="H214" s="16" t="s">
        <v>13</v>
      </c>
      <c r="I214" s="16">
        <v>2012</v>
      </c>
      <c r="J214" s="16" t="s">
        <v>2387</v>
      </c>
      <c r="K214" s="16" t="s">
        <v>48</v>
      </c>
      <c r="L214" s="16" t="s">
        <v>15</v>
      </c>
      <c r="M214" s="16" t="s">
        <v>2388</v>
      </c>
      <c r="N214" s="16"/>
      <c r="O214" s="16"/>
    </row>
    <row r="215" spans="1:15" x14ac:dyDescent="0.3">
      <c r="A215" s="16">
        <v>214</v>
      </c>
      <c r="B215" s="16" t="s">
        <v>1641</v>
      </c>
      <c r="C215" s="16" t="str">
        <f>"V2079862883001"</f>
        <v>V2079862883001</v>
      </c>
      <c r="D215" s="16" t="s">
        <v>2389</v>
      </c>
      <c r="E215" s="16" t="s">
        <v>2351</v>
      </c>
      <c r="F215" s="21" t="s">
        <v>2352</v>
      </c>
      <c r="G215" s="16" t="s">
        <v>1645</v>
      </c>
      <c r="H215" s="16" t="s">
        <v>13</v>
      </c>
      <c r="I215" s="16">
        <v>2012</v>
      </c>
      <c r="J215" s="16" t="s">
        <v>2390</v>
      </c>
      <c r="K215" s="16" t="s">
        <v>2391</v>
      </c>
      <c r="L215" s="16" t="s">
        <v>15</v>
      </c>
      <c r="M215" s="16" t="s">
        <v>2392</v>
      </c>
      <c r="N215" s="16"/>
      <c r="O215" s="16"/>
    </row>
    <row r="216" spans="1:15" x14ac:dyDescent="0.3">
      <c r="A216" s="16">
        <v>215</v>
      </c>
      <c r="B216" s="16" t="s">
        <v>1641</v>
      </c>
      <c r="C216" s="16" t="str">
        <f>"V2079862884001"</f>
        <v>V2079862884001</v>
      </c>
      <c r="D216" s="16" t="s">
        <v>2393</v>
      </c>
      <c r="E216" s="16" t="s">
        <v>2351</v>
      </c>
      <c r="F216" s="21" t="s">
        <v>2352</v>
      </c>
      <c r="G216" s="16" t="s">
        <v>1645</v>
      </c>
      <c r="H216" s="16" t="s">
        <v>13</v>
      </c>
      <c r="I216" s="16">
        <v>2012</v>
      </c>
      <c r="J216" s="16" t="s">
        <v>2394</v>
      </c>
      <c r="K216" s="16" t="s">
        <v>48</v>
      </c>
      <c r="L216" s="16" t="s">
        <v>15</v>
      </c>
      <c r="M216" s="16" t="s">
        <v>2395</v>
      </c>
      <c r="N216" s="16"/>
      <c r="O216" s="16"/>
    </row>
    <row r="217" spans="1:15" x14ac:dyDescent="0.3">
      <c r="A217" s="16">
        <v>216</v>
      </c>
      <c r="B217" s="16" t="s">
        <v>1641</v>
      </c>
      <c r="C217" s="16" t="str">
        <f>"V2079862885001"</f>
        <v>V2079862885001</v>
      </c>
      <c r="D217" s="16" t="s">
        <v>2396</v>
      </c>
      <c r="E217" s="16" t="s">
        <v>2351</v>
      </c>
      <c r="F217" s="21" t="s">
        <v>2352</v>
      </c>
      <c r="G217" s="16" t="s">
        <v>1645</v>
      </c>
      <c r="H217" s="16" t="s">
        <v>13</v>
      </c>
      <c r="I217" s="16">
        <v>2012</v>
      </c>
      <c r="J217" s="16" t="s">
        <v>1139</v>
      </c>
      <c r="K217" s="16" t="s">
        <v>48</v>
      </c>
      <c r="L217" s="16" t="s">
        <v>15</v>
      </c>
      <c r="M217" s="16" t="s">
        <v>2397</v>
      </c>
      <c r="N217" s="16"/>
      <c r="O217" s="16"/>
    </row>
    <row r="218" spans="1:15" x14ac:dyDescent="0.3">
      <c r="A218" s="16">
        <v>217</v>
      </c>
      <c r="B218" s="16" t="s">
        <v>1641</v>
      </c>
      <c r="C218" s="16" t="str">
        <f>"V2079872830001"</f>
        <v>V2079872830001</v>
      </c>
      <c r="D218" s="16" t="s">
        <v>2398</v>
      </c>
      <c r="E218" s="16" t="s">
        <v>2351</v>
      </c>
      <c r="F218" s="21" t="s">
        <v>2352</v>
      </c>
      <c r="G218" s="16" t="s">
        <v>1645</v>
      </c>
      <c r="H218" s="16" t="s">
        <v>13</v>
      </c>
      <c r="I218" s="16">
        <v>2012</v>
      </c>
      <c r="J218" s="16" t="s">
        <v>2399</v>
      </c>
      <c r="K218" s="16" t="s">
        <v>2400</v>
      </c>
      <c r="L218" s="16" t="s">
        <v>15</v>
      </c>
      <c r="M218" s="16" t="s">
        <v>2401</v>
      </c>
      <c r="N218" s="16"/>
      <c r="O218" s="16"/>
    </row>
    <row r="219" spans="1:15" x14ac:dyDescent="0.3">
      <c r="A219" s="16">
        <v>218</v>
      </c>
      <c r="B219" s="16" t="s">
        <v>1641</v>
      </c>
      <c r="C219" s="16" t="str">
        <f>"V2079872831001"</f>
        <v>V2079872831001</v>
      </c>
      <c r="D219" s="16" t="s">
        <v>2402</v>
      </c>
      <c r="E219" s="16" t="s">
        <v>2351</v>
      </c>
      <c r="F219" s="21" t="s">
        <v>2352</v>
      </c>
      <c r="G219" s="16" t="s">
        <v>1645</v>
      </c>
      <c r="H219" s="16" t="s">
        <v>13</v>
      </c>
      <c r="I219" s="16">
        <v>2012</v>
      </c>
      <c r="J219" s="16" t="s">
        <v>2403</v>
      </c>
      <c r="K219" s="16" t="s">
        <v>48</v>
      </c>
      <c r="L219" s="16" t="s">
        <v>15</v>
      </c>
      <c r="M219" s="16" t="s">
        <v>2404</v>
      </c>
      <c r="N219" s="16"/>
      <c r="O219" s="16"/>
    </row>
    <row r="220" spans="1:15" x14ac:dyDescent="0.3">
      <c r="A220" s="16">
        <v>219</v>
      </c>
      <c r="B220" s="16" t="s">
        <v>1641</v>
      </c>
      <c r="C220" s="16" t="str">
        <f>"V2079872832001"</f>
        <v>V2079872832001</v>
      </c>
      <c r="D220" s="16" t="s">
        <v>2405</v>
      </c>
      <c r="E220" s="16" t="s">
        <v>2351</v>
      </c>
      <c r="F220" s="21" t="s">
        <v>2352</v>
      </c>
      <c r="G220" s="16" t="s">
        <v>1645</v>
      </c>
      <c r="H220" s="16" t="s">
        <v>13</v>
      </c>
      <c r="I220" s="16">
        <v>2012</v>
      </c>
      <c r="J220" s="16" t="s">
        <v>2406</v>
      </c>
      <c r="K220" s="16" t="s">
        <v>48</v>
      </c>
      <c r="L220" s="16" t="s">
        <v>15</v>
      </c>
      <c r="M220" s="16" t="s">
        <v>2407</v>
      </c>
      <c r="N220" s="16"/>
      <c r="O220" s="16"/>
    </row>
    <row r="221" spans="1:15" x14ac:dyDescent="0.3">
      <c r="A221" s="16">
        <v>220</v>
      </c>
      <c r="B221" s="16" t="s">
        <v>1641</v>
      </c>
      <c r="C221" s="16" t="str">
        <f>"V2079872833001"</f>
        <v>V2079872833001</v>
      </c>
      <c r="D221" s="16" t="s">
        <v>2408</v>
      </c>
      <c r="E221" s="16" t="s">
        <v>2351</v>
      </c>
      <c r="F221" s="21" t="s">
        <v>2352</v>
      </c>
      <c r="G221" s="16" t="s">
        <v>1645</v>
      </c>
      <c r="H221" s="16" t="s">
        <v>13</v>
      </c>
      <c r="I221" s="16">
        <v>2012</v>
      </c>
      <c r="J221" s="16" t="s">
        <v>2409</v>
      </c>
      <c r="K221" s="16" t="s">
        <v>48</v>
      </c>
      <c r="L221" s="16" t="s">
        <v>15</v>
      </c>
      <c r="M221" s="16" t="s">
        <v>2410</v>
      </c>
      <c r="N221" s="16"/>
      <c r="O221" s="16"/>
    </row>
    <row r="222" spans="1:15" x14ac:dyDescent="0.3">
      <c r="A222" s="16">
        <v>221</v>
      </c>
      <c r="B222" s="16" t="s">
        <v>1641</v>
      </c>
      <c r="C222" s="16" t="str">
        <f>"V2079872834001"</f>
        <v>V2079872834001</v>
      </c>
      <c r="D222" s="16" t="s">
        <v>2411</v>
      </c>
      <c r="E222" s="16" t="s">
        <v>2351</v>
      </c>
      <c r="F222" s="21" t="s">
        <v>2352</v>
      </c>
      <c r="G222" s="16" t="s">
        <v>1645</v>
      </c>
      <c r="H222" s="16" t="s">
        <v>13</v>
      </c>
      <c r="I222" s="16">
        <v>2012</v>
      </c>
      <c r="J222" s="16" t="s">
        <v>2412</v>
      </c>
      <c r="K222" s="16" t="s">
        <v>2391</v>
      </c>
      <c r="L222" s="16" t="s">
        <v>15</v>
      </c>
      <c r="M222" s="16" t="s">
        <v>2413</v>
      </c>
      <c r="N222" s="16"/>
      <c r="O222" s="16"/>
    </row>
    <row r="223" spans="1:15" x14ac:dyDescent="0.3">
      <c r="A223" s="16">
        <v>222</v>
      </c>
      <c r="B223" s="16" t="s">
        <v>1641</v>
      </c>
      <c r="C223" s="16" t="str">
        <f>"V2079872836001"</f>
        <v>V2079872836001</v>
      </c>
      <c r="D223" s="16" t="s">
        <v>2414</v>
      </c>
      <c r="E223" s="16" t="s">
        <v>2351</v>
      </c>
      <c r="F223" s="21" t="s">
        <v>2352</v>
      </c>
      <c r="G223" s="16" t="s">
        <v>1645</v>
      </c>
      <c r="H223" s="16" t="s">
        <v>13</v>
      </c>
      <c r="I223" s="16">
        <v>2012</v>
      </c>
      <c r="J223" s="16" t="s">
        <v>2415</v>
      </c>
      <c r="K223" s="16" t="s">
        <v>2391</v>
      </c>
      <c r="L223" s="16" t="s">
        <v>15</v>
      </c>
      <c r="M223" s="16" t="s">
        <v>2416</v>
      </c>
      <c r="N223" s="16"/>
      <c r="O223" s="16"/>
    </row>
    <row r="224" spans="1:15" x14ac:dyDescent="0.3">
      <c r="A224" s="16">
        <v>223</v>
      </c>
      <c r="B224" s="16" t="s">
        <v>1641</v>
      </c>
      <c r="C224" s="16" t="str">
        <f>"V2079872837001"</f>
        <v>V2079872837001</v>
      </c>
      <c r="D224" s="16" t="s">
        <v>2417</v>
      </c>
      <c r="E224" s="16" t="s">
        <v>2351</v>
      </c>
      <c r="F224" s="21" t="s">
        <v>2352</v>
      </c>
      <c r="G224" s="16" t="s">
        <v>1645</v>
      </c>
      <c r="H224" s="16" t="s">
        <v>13</v>
      </c>
      <c r="I224" s="16">
        <v>2012</v>
      </c>
      <c r="J224" s="16" t="s">
        <v>2418</v>
      </c>
      <c r="K224" s="16" t="s">
        <v>48</v>
      </c>
      <c r="L224" s="16" t="s">
        <v>15</v>
      </c>
      <c r="M224" s="16" t="s">
        <v>2419</v>
      </c>
      <c r="N224" s="16"/>
      <c r="O224" s="16"/>
    </row>
    <row r="225" spans="1:15" x14ac:dyDescent="0.3">
      <c r="A225" s="16">
        <v>224</v>
      </c>
      <c r="B225" s="16" t="s">
        <v>1641</v>
      </c>
      <c r="C225" s="16" t="str">
        <f>"V2079881082001"</f>
        <v>V2079881082001</v>
      </c>
      <c r="D225" s="16" t="s">
        <v>2420</v>
      </c>
      <c r="E225" s="16" t="s">
        <v>2351</v>
      </c>
      <c r="F225" s="21" t="s">
        <v>2352</v>
      </c>
      <c r="G225" s="16" t="s">
        <v>1645</v>
      </c>
      <c r="H225" s="16" t="s">
        <v>13</v>
      </c>
      <c r="I225" s="16">
        <v>2012</v>
      </c>
      <c r="J225" s="16" t="s">
        <v>2421</v>
      </c>
      <c r="K225" s="16" t="s">
        <v>48</v>
      </c>
      <c r="L225" s="16" t="s">
        <v>15</v>
      </c>
      <c r="M225" s="16" t="s">
        <v>2422</v>
      </c>
      <c r="N225" s="16"/>
      <c r="O225" s="16"/>
    </row>
    <row r="226" spans="1:15" x14ac:dyDescent="0.3">
      <c r="A226" s="16">
        <v>225</v>
      </c>
      <c r="B226" s="16" t="s">
        <v>1641</v>
      </c>
      <c r="C226" s="16" t="str">
        <f>"V2079881084001"</f>
        <v>V2079881084001</v>
      </c>
      <c r="D226" s="16" t="s">
        <v>2423</v>
      </c>
      <c r="E226" s="16" t="s">
        <v>2351</v>
      </c>
      <c r="F226" s="21" t="s">
        <v>2352</v>
      </c>
      <c r="G226" s="16" t="s">
        <v>1645</v>
      </c>
      <c r="H226" s="16" t="s">
        <v>13</v>
      </c>
      <c r="I226" s="16">
        <v>2012</v>
      </c>
      <c r="J226" s="16" t="s">
        <v>2418</v>
      </c>
      <c r="K226" s="16" t="s">
        <v>48</v>
      </c>
      <c r="L226" s="16" t="s">
        <v>15</v>
      </c>
      <c r="M226" s="16" t="s">
        <v>2424</v>
      </c>
      <c r="N226" s="16"/>
      <c r="O226" s="16"/>
    </row>
    <row r="227" spans="1:15" x14ac:dyDescent="0.3">
      <c r="A227" s="16">
        <v>226</v>
      </c>
      <c r="B227" s="16" t="s">
        <v>1641</v>
      </c>
      <c r="C227" s="16" t="str">
        <f>"V2079902185001"</f>
        <v>V2079902185001</v>
      </c>
      <c r="D227" s="16" t="s">
        <v>2425</v>
      </c>
      <c r="E227" s="16" t="s">
        <v>2426</v>
      </c>
      <c r="F227" s="21" t="s">
        <v>2427</v>
      </c>
      <c r="G227" s="16" t="s">
        <v>1645</v>
      </c>
      <c r="H227" s="16" t="s">
        <v>13</v>
      </c>
      <c r="I227" s="16">
        <v>2012</v>
      </c>
      <c r="J227" s="16" t="s">
        <v>2428</v>
      </c>
      <c r="K227" s="16" t="s">
        <v>48</v>
      </c>
      <c r="L227" s="16" t="s">
        <v>15</v>
      </c>
      <c r="M227" s="16" t="s">
        <v>2429</v>
      </c>
      <c r="N227" s="16"/>
      <c r="O227" s="16"/>
    </row>
    <row r="228" spans="1:15" x14ac:dyDescent="0.3">
      <c r="A228" s="16">
        <v>227</v>
      </c>
      <c r="B228" s="16" t="s">
        <v>1641</v>
      </c>
      <c r="C228" s="16" t="str">
        <f>"V2079902187001"</f>
        <v>V2079902187001</v>
      </c>
      <c r="D228" s="16" t="s">
        <v>2430</v>
      </c>
      <c r="E228" s="16" t="s">
        <v>2426</v>
      </c>
      <c r="F228" s="21" t="s">
        <v>2427</v>
      </c>
      <c r="G228" s="16" t="s">
        <v>1645</v>
      </c>
      <c r="H228" s="16" t="s">
        <v>13</v>
      </c>
      <c r="I228" s="16">
        <v>2012</v>
      </c>
      <c r="J228" s="16" t="s">
        <v>2431</v>
      </c>
      <c r="K228" s="16" t="s">
        <v>48</v>
      </c>
      <c r="L228" s="16" t="s">
        <v>15</v>
      </c>
      <c r="M228" s="16" t="s">
        <v>2432</v>
      </c>
      <c r="N228" s="16"/>
      <c r="O228" s="16"/>
    </row>
    <row r="229" spans="1:15" x14ac:dyDescent="0.3">
      <c r="A229" s="16">
        <v>228</v>
      </c>
      <c r="B229" s="16" t="s">
        <v>1641</v>
      </c>
      <c r="C229" s="16" t="str">
        <f>"V2079902188001"</f>
        <v>V2079902188001</v>
      </c>
      <c r="D229" s="16" t="s">
        <v>2433</v>
      </c>
      <c r="E229" s="16" t="s">
        <v>2426</v>
      </c>
      <c r="F229" s="21" t="s">
        <v>2427</v>
      </c>
      <c r="G229" s="16" t="s">
        <v>1645</v>
      </c>
      <c r="H229" s="16" t="s">
        <v>13</v>
      </c>
      <c r="I229" s="16">
        <v>2012</v>
      </c>
      <c r="J229" s="16" t="s">
        <v>2434</v>
      </c>
      <c r="K229" s="16" t="s">
        <v>48</v>
      </c>
      <c r="L229" s="16" t="s">
        <v>15</v>
      </c>
      <c r="M229" s="16" t="s">
        <v>2435</v>
      </c>
      <c r="N229" s="16"/>
      <c r="O229" s="16"/>
    </row>
    <row r="230" spans="1:15" x14ac:dyDescent="0.3">
      <c r="A230" s="16">
        <v>229</v>
      </c>
      <c r="B230" s="16" t="s">
        <v>1641</v>
      </c>
      <c r="C230" s="16" t="str">
        <f>"V2079902189001"</f>
        <v>V2079902189001</v>
      </c>
      <c r="D230" s="16" t="s">
        <v>2436</v>
      </c>
      <c r="E230" s="16" t="s">
        <v>2426</v>
      </c>
      <c r="F230" s="21" t="s">
        <v>2427</v>
      </c>
      <c r="G230" s="16" t="s">
        <v>1645</v>
      </c>
      <c r="H230" s="16" t="s">
        <v>13</v>
      </c>
      <c r="I230" s="16">
        <v>2012</v>
      </c>
      <c r="J230" s="16" t="s">
        <v>2437</v>
      </c>
      <c r="K230" s="16" t="s">
        <v>48</v>
      </c>
      <c r="L230" s="16" t="s">
        <v>15</v>
      </c>
      <c r="M230" s="16" t="s">
        <v>2438</v>
      </c>
      <c r="N230" s="16"/>
      <c r="O230" s="16"/>
    </row>
    <row r="231" spans="1:15" x14ac:dyDescent="0.3">
      <c r="A231" s="16">
        <v>230</v>
      </c>
      <c r="B231" s="16" t="s">
        <v>1641</v>
      </c>
      <c r="C231" s="16" t="str">
        <f>"V2079902190001"</f>
        <v>V2079902190001</v>
      </c>
      <c r="D231" s="16" t="s">
        <v>2439</v>
      </c>
      <c r="E231" s="16" t="s">
        <v>2426</v>
      </c>
      <c r="F231" s="21" t="s">
        <v>2427</v>
      </c>
      <c r="G231" s="16" t="s">
        <v>1645</v>
      </c>
      <c r="H231" s="16" t="s">
        <v>13</v>
      </c>
      <c r="I231" s="16">
        <v>2012</v>
      </c>
      <c r="J231" s="16" t="s">
        <v>2440</v>
      </c>
      <c r="K231" s="16" t="s">
        <v>48</v>
      </c>
      <c r="L231" s="16" t="s">
        <v>15</v>
      </c>
      <c r="M231" s="16" t="s">
        <v>2441</v>
      </c>
      <c r="N231" s="16"/>
      <c r="O231" s="16"/>
    </row>
    <row r="232" spans="1:15" x14ac:dyDescent="0.3">
      <c r="A232" s="16">
        <v>231</v>
      </c>
      <c r="B232" s="16" t="s">
        <v>1641</v>
      </c>
      <c r="C232" s="16" t="str">
        <f>"V2079911142001"</f>
        <v>V2079911142001</v>
      </c>
      <c r="D232" s="16" t="s">
        <v>2442</v>
      </c>
      <c r="E232" s="16" t="s">
        <v>2426</v>
      </c>
      <c r="F232" s="21" t="s">
        <v>2427</v>
      </c>
      <c r="G232" s="16" t="s">
        <v>1645</v>
      </c>
      <c r="H232" s="16" t="s">
        <v>13</v>
      </c>
      <c r="I232" s="16">
        <v>2012</v>
      </c>
      <c r="J232" s="16" t="s">
        <v>2443</v>
      </c>
      <c r="K232" s="16" t="s">
        <v>48</v>
      </c>
      <c r="L232" s="16" t="s">
        <v>15</v>
      </c>
      <c r="M232" s="16" t="s">
        <v>2444</v>
      </c>
      <c r="N232" s="16"/>
      <c r="O232" s="16"/>
    </row>
    <row r="233" spans="1:15" x14ac:dyDescent="0.3">
      <c r="A233" s="16">
        <v>232</v>
      </c>
      <c r="B233" s="16" t="s">
        <v>1641</v>
      </c>
      <c r="C233" s="16" t="str">
        <f>"V2079911143001"</f>
        <v>V2079911143001</v>
      </c>
      <c r="D233" s="16" t="s">
        <v>2445</v>
      </c>
      <c r="E233" s="16" t="s">
        <v>2426</v>
      </c>
      <c r="F233" s="21" t="s">
        <v>2427</v>
      </c>
      <c r="G233" s="16" t="s">
        <v>1645</v>
      </c>
      <c r="H233" s="16" t="s">
        <v>13</v>
      </c>
      <c r="I233" s="16">
        <v>2012</v>
      </c>
      <c r="J233" s="16" t="s">
        <v>2434</v>
      </c>
      <c r="K233" s="16" t="s">
        <v>48</v>
      </c>
      <c r="L233" s="16" t="s">
        <v>15</v>
      </c>
      <c r="M233" s="16" t="s">
        <v>2446</v>
      </c>
      <c r="N233" s="16"/>
      <c r="O233" s="16"/>
    </row>
    <row r="234" spans="1:15" x14ac:dyDescent="0.3">
      <c r="A234" s="16">
        <v>233</v>
      </c>
      <c r="B234" s="16" t="s">
        <v>1641</v>
      </c>
      <c r="C234" s="16" t="str">
        <f>"V2079911149001"</f>
        <v>V2079911149001</v>
      </c>
      <c r="D234" s="16" t="s">
        <v>2447</v>
      </c>
      <c r="E234" s="16" t="s">
        <v>2426</v>
      </c>
      <c r="F234" s="21" t="s">
        <v>2427</v>
      </c>
      <c r="G234" s="16" t="s">
        <v>1645</v>
      </c>
      <c r="H234" s="16" t="s">
        <v>13</v>
      </c>
      <c r="I234" s="16">
        <v>2012</v>
      </c>
      <c r="J234" s="16" t="s">
        <v>2448</v>
      </c>
      <c r="K234" s="16" t="s">
        <v>48</v>
      </c>
      <c r="L234" s="16" t="s">
        <v>15</v>
      </c>
      <c r="M234" s="16" t="s">
        <v>2449</v>
      </c>
      <c r="N234" s="16"/>
      <c r="O234" s="16"/>
    </row>
    <row r="235" spans="1:15" x14ac:dyDescent="0.3">
      <c r="A235" s="16">
        <v>234</v>
      </c>
      <c r="B235" s="16" t="s">
        <v>1641</v>
      </c>
      <c r="C235" s="16" t="str">
        <f>"V2079911150001"</f>
        <v>V2079911150001</v>
      </c>
      <c r="D235" s="16" t="s">
        <v>2450</v>
      </c>
      <c r="E235" s="16" t="s">
        <v>2426</v>
      </c>
      <c r="F235" s="21" t="s">
        <v>2427</v>
      </c>
      <c r="G235" s="16" t="s">
        <v>1645</v>
      </c>
      <c r="H235" s="16" t="s">
        <v>13</v>
      </c>
      <c r="I235" s="16">
        <v>2012</v>
      </c>
      <c r="J235" s="16" t="s">
        <v>2451</v>
      </c>
      <c r="K235" s="16" t="s">
        <v>2452</v>
      </c>
      <c r="L235" s="16" t="s">
        <v>15</v>
      </c>
      <c r="M235" s="16" t="s">
        <v>2453</v>
      </c>
      <c r="N235" s="16"/>
      <c r="O235" s="16"/>
    </row>
    <row r="236" spans="1:15" x14ac:dyDescent="0.3">
      <c r="A236" s="16">
        <v>235</v>
      </c>
      <c r="B236" s="16" t="s">
        <v>1641</v>
      </c>
      <c r="C236" s="16" t="str">
        <f>"V2079911155001"</f>
        <v>V2079911155001</v>
      </c>
      <c r="D236" s="16" t="s">
        <v>2454</v>
      </c>
      <c r="E236" s="16" t="s">
        <v>2426</v>
      </c>
      <c r="F236" s="21" t="s">
        <v>2427</v>
      </c>
      <c r="G236" s="16" t="s">
        <v>1645</v>
      </c>
      <c r="H236" s="16" t="s">
        <v>13</v>
      </c>
      <c r="I236" s="16">
        <v>2012</v>
      </c>
      <c r="J236" s="16" t="s">
        <v>2455</v>
      </c>
      <c r="K236" s="16" t="s">
        <v>2456</v>
      </c>
      <c r="L236" s="16" t="s">
        <v>15</v>
      </c>
      <c r="M236" s="16" t="s">
        <v>2457</v>
      </c>
      <c r="N236" s="16"/>
      <c r="O236" s="16"/>
    </row>
    <row r="237" spans="1:15" x14ac:dyDescent="0.3">
      <c r="A237" s="16">
        <v>236</v>
      </c>
      <c r="B237" s="16" t="s">
        <v>1641</v>
      </c>
      <c r="C237" s="16" t="str">
        <f>"V2079918479001"</f>
        <v>V2079918479001</v>
      </c>
      <c r="D237" s="16" t="s">
        <v>2458</v>
      </c>
      <c r="E237" s="16" t="s">
        <v>2426</v>
      </c>
      <c r="F237" s="21" t="s">
        <v>2427</v>
      </c>
      <c r="G237" s="16" t="s">
        <v>1645</v>
      </c>
      <c r="H237" s="16" t="s">
        <v>13</v>
      </c>
      <c r="I237" s="16">
        <v>2012</v>
      </c>
      <c r="J237" s="16" t="s">
        <v>2459</v>
      </c>
      <c r="K237" s="16" t="s">
        <v>2391</v>
      </c>
      <c r="L237" s="16" t="s">
        <v>15</v>
      </c>
      <c r="M237" s="16" t="s">
        <v>2460</v>
      </c>
      <c r="N237" s="16"/>
      <c r="O237" s="16"/>
    </row>
    <row r="238" spans="1:15" x14ac:dyDescent="0.3">
      <c r="A238" s="16">
        <v>237</v>
      </c>
      <c r="B238" s="16" t="s">
        <v>1641</v>
      </c>
      <c r="C238" s="16" t="str">
        <f>"V2079918480001"</f>
        <v>V2079918480001</v>
      </c>
      <c r="D238" s="16" t="s">
        <v>2461</v>
      </c>
      <c r="E238" s="16" t="s">
        <v>2426</v>
      </c>
      <c r="F238" s="21" t="s">
        <v>2427</v>
      </c>
      <c r="G238" s="16" t="s">
        <v>1645</v>
      </c>
      <c r="H238" s="16" t="s">
        <v>13</v>
      </c>
      <c r="I238" s="16">
        <v>2012</v>
      </c>
      <c r="J238" s="16" t="s">
        <v>2462</v>
      </c>
      <c r="K238" s="16" t="s">
        <v>48</v>
      </c>
      <c r="L238" s="16" t="s">
        <v>15</v>
      </c>
      <c r="M238" s="16" t="s">
        <v>2463</v>
      </c>
      <c r="N238" s="16"/>
      <c r="O238" s="16"/>
    </row>
    <row r="239" spans="1:15" x14ac:dyDescent="0.3">
      <c r="A239" s="16">
        <v>238</v>
      </c>
      <c r="B239" s="16" t="s">
        <v>1641</v>
      </c>
      <c r="C239" s="16" t="str">
        <f>"V2079918486001"</f>
        <v>V2079918486001</v>
      </c>
      <c r="D239" s="16" t="s">
        <v>2464</v>
      </c>
      <c r="E239" s="16" t="s">
        <v>2426</v>
      </c>
      <c r="F239" s="21" t="s">
        <v>2427</v>
      </c>
      <c r="G239" s="16" t="s">
        <v>1645</v>
      </c>
      <c r="H239" s="16" t="s">
        <v>13</v>
      </c>
      <c r="I239" s="16">
        <v>2012</v>
      </c>
      <c r="J239" s="16" t="s">
        <v>2465</v>
      </c>
      <c r="K239" s="16" t="s">
        <v>48</v>
      </c>
      <c r="L239" s="16" t="s">
        <v>15</v>
      </c>
      <c r="M239" s="16" t="s">
        <v>2466</v>
      </c>
      <c r="N239" s="16"/>
      <c r="O239" s="16"/>
    </row>
    <row r="240" spans="1:15" x14ac:dyDescent="0.3">
      <c r="A240" s="16">
        <v>239</v>
      </c>
      <c r="B240" s="16" t="s">
        <v>1641</v>
      </c>
      <c r="C240" s="16" t="str">
        <f>"V2079918489001"</f>
        <v>V2079918489001</v>
      </c>
      <c r="D240" s="16" t="s">
        <v>2467</v>
      </c>
      <c r="E240" s="16" t="s">
        <v>2426</v>
      </c>
      <c r="F240" s="21" t="s">
        <v>2427</v>
      </c>
      <c r="G240" s="16" t="s">
        <v>1645</v>
      </c>
      <c r="H240" s="16" t="s">
        <v>13</v>
      </c>
      <c r="I240" s="16">
        <v>2012</v>
      </c>
      <c r="J240" s="16" t="s">
        <v>2468</v>
      </c>
      <c r="K240" s="16" t="s">
        <v>48</v>
      </c>
      <c r="L240" s="16" t="s">
        <v>15</v>
      </c>
      <c r="M240" s="16" t="s">
        <v>2469</v>
      </c>
      <c r="N240" s="16"/>
      <c r="O240" s="16"/>
    </row>
    <row r="241" spans="1:15" x14ac:dyDescent="0.3">
      <c r="A241" s="16">
        <v>240</v>
      </c>
      <c r="B241" s="16" t="s">
        <v>1641</v>
      </c>
      <c r="C241" s="16" t="str">
        <f>"V2079918490001"</f>
        <v>V2079918490001</v>
      </c>
      <c r="D241" s="16" t="s">
        <v>2470</v>
      </c>
      <c r="E241" s="16" t="s">
        <v>2426</v>
      </c>
      <c r="F241" s="21" t="s">
        <v>2427</v>
      </c>
      <c r="G241" s="16" t="s">
        <v>1645</v>
      </c>
      <c r="H241" s="16" t="s">
        <v>13</v>
      </c>
      <c r="I241" s="16">
        <v>2012</v>
      </c>
      <c r="J241" s="16" t="s">
        <v>2471</v>
      </c>
      <c r="K241" s="16" t="s">
        <v>2472</v>
      </c>
      <c r="L241" s="16" t="s">
        <v>15</v>
      </c>
      <c r="M241" s="16" t="s">
        <v>2473</v>
      </c>
      <c r="N241" s="16"/>
      <c r="O241" s="16"/>
    </row>
    <row r="242" spans="1:15" x14ac:dyDescent="0.3">
      <c r="A242" s="16">
        <v>241</v>
      </c>
      <c r="B242" s="16" t="s">
        <v>1641</v>
      </c>
      <c r="C242" s="16" t="str">
        <f>"V2079918493001"</f>
        <v>V2079918493001</v>
      </c>
      <c r="D242" s="16" t="s">
        <v>2474</v>
      </c>
      <c r="E242" s="16" t="s">
        <v>2426</v>
      </c>
      <c r="F242" s="21" t="s">
        <v>2427</v>
      </c>
      <c r="G242" s="16" t="s">
        <v>1645</v>
      </c>
      <c r="H242" s="16" t="s">
        <v>13</v>
      </c>
      <c r="I242" s="16">
        <v>2012</v>
      </c>
      <c r="J242" s="16" t="s">
        <v>2475</v>
      </c>
      <c r="K242" s="16" t="s">
        <v>48</v>
      </c>
      <c r="L242" s="16" t="s">
        <v>15</v>
      </c>
      <c r="M242" s="16" t="s">
        <v>2476</v>
      </c>
      <c r="N242" s="16"/>
      <c r="O242" s="16"/>
    </row>
    <row r="243" spans="1:15" x14ac:dyDescent="0.3">
      <c r="A243" s="16">
        <v>242</v>
      </c>
      <c r="B243" s="16" t="s">
        <v>1641</v>
      </c>
      <c r="C243" s="16" t="str">
        <f>"V2079933703001"</f>
        <v>V2079933703001</v>
      </c>
      <c r="D243" s="16" t="s">
        <v>2477</v>
      </c>
      <c r="E243" s="16" t="s">
        <v>2426</v>
      </c>
      <c r="F243" s="21" t="s">
        <v>2427</v>
      </c>
      <c r="G243" s="16" t="s">
        <v>1645</v>
      </c>
      <c r="H243" s="16" t="s">
        <v>13</v>
      </c>
      <c r="I243" s="16">
        <v>2012</v>
      </c>
      <c r="J243" s="16" t="s">
        <v>2478</v>
      </c>
      <c r="K243" s="16" t="s">
        <v>48</v>
      </c>
      <c r="L243" s="16" t="s">
        <v>15</v>
      </c>
      <c r="M243" s="16" t="s">
        <v>2479</v>
      </c>
      <c r="N243" s="16"/>
      <c r="O243" s="16"/>
    </row>
    <row r="244" spans="1:15" x14ac:dyDescent="0.3">
      <c r="A244" s="16">
        <v>243</v>
      </c>
      <c r="B244" s="16" t="s">
        <v>1641</v>
      </c>
      <c r="C244" s="16" t="str">
        <f>"V2079933711001"</f>
        <v>V2079933711001</v>
      </c>
      <c r="D244" s="16" t="s">
        <v>2480</v>
      </c>
      <c r="E244" s="16" t="s">
        <v>2426</v>
      </c>
      <c r="F244" s="21" t="s">
        <v>2427</v>
      </c>
      <c r="G244" s="16" t="s">
        <v>1645</v>
      </c>
      <c r="H244" s="16" t="s">
        <v>13</v>
      </c>
      <c r="I244" s="16">
        <v>2012</v>
      </c>
      <c r="J244" s="16" t="s">
        <v>2481</v>
      </c>
      <c r="K244" s="16" t="s">
        <v>48</v>
      </c>
      <c r="L244" s="16" t="s">
        <v>15</v>
      </c>
      <c r="M244" s="16" t="s">
        <v>2482</v>
      </c>
      <c r="N244" s="16"/>
      <c r="O244" s="16"/>
    </row>
    <row r="245" spans="1:15" x14ac:dyDescent="0.3">
      <c r="A245" s="16">
        <v>244</v>
      </c>
      <c r="B245" s="16" t="s">
        <v>1641</v>
      </c>
      <c r="C245" s="16" t="str">
        <f>"V2079933713001"</f>
        <v>V2079933713001</v>
      </c>
      <c r="D245" s="16" t="s">
        <v>2483</v>
      </c>
      <c r="E245" s="16" t="s">
        <v>2426</v>
      </c>
      <c r="F245" s="21" t="s">
        <v>2427</v>
      </c>
      <c r="G245" s="16" t="s">
        <v>1645</v>
      </c>
      <c r="H245" s="16" t="s">
        <v>13</v>
      </c>
      <c r="I245" s="16">
        <v>2012</v>
      </c>
      <c r="J245" s="16" t="s">
        <v>2431</v>
      </c>
      <c r="K245" s="16" t="s">
        <v>48</v>
      </c>
      <c r="L245" s="16" t="s">
        <v>15</v>
      </c>
      <c r="M245" s="16" t="s">
        <v>2484</v>
      </c>
      <c r="N245" s="16"/>
      <c r="O245" s="16"/>
    </row>
    <row r="246" spans="1:15" x14ac:dyDescent="0.3">
      <c r="A246" s="16">
        <v>245</v>
      </c>
      <c r="B246" s="16" t="s">
        <v>1641</v>
      </c>
      <c r="C246" s="16" t="str">
        <f>"V2079933714001"</f>
        <v>V2079933714001</v>
      </c>
      <c r="D246" s="16" t="s">
        <v>2485</v>
      </c>
      <c r="E246" s="16" t="s">
        <v>2426</v>
      </c>
      <c r="F246" s="21" t="s">
        <v>2427</v>
      </c>
      <c r="G246" s="16" t="s">
        <v>1645</v>
      </c>
      <c r="H246" s="16" t="s">
        <v>13</v>
      </c>
      <c r="I246" s="16">
        <v>2012</v>
      </c>
      <c r="J246" s="16" t="s">
        <v>2486</v>
      </c>
      <c r="K246" s="16" t="s">
        <v>2487</v>
      </c>
      <c r="L246" s="16" t="s">
        <v>15</v>
      </c>
      <c r="M246" s="16" t="s">
        <v>2488</v>
      </c>
      <c r="N246" s="16"/>
      <c r="O246" s="16"/>
    </row>
    <row r="247" spans="1:15" x14ac:dyDescent="0.3">
      <c r="A247" s="16">
        <v>246</v>
      </c>
      <c r="B247" s="16" t="s">
        <v>1641</v>
      </c>
      <c r="C247" s="16" t="str">
        <f>"V2127114333001"</f>
        <v>V2127114333001</v>
      </c>
      <c r="D247" s="16" t="s">
        <v>2489</v>
      </c>
      <c r="E247" s="16" t="s">
        <v>2490</v>
      </c>
      <c r="F247" s="21">
        <v>9781259585098</v>
      </c>
      <c r="G247" s="16" t="s">
        <v>2491</v>
      </c>
      <c r="H247" s="16" t="s">
        <v>13</v>
      </c>
      <c r="I247" s="16">
        <v>2013</v>
      </c>
      <c r="J247" s="16" t="s">
        <v>2492</v>
      </c>
      <c r="K247" s="16" t="s">
        <v>2493</v>
      </c>
      <c r="L247" s="16" t="s">
        <v>15</v>
      </c>
      <c r="M247" s="16" t="s">
        <v>2494</v>
      </c>
      <c r="N247" s="16"/>
      <c r="O247" s="16"/>
    </row>
    <row r="248" spans="1:15" x14ac:dyDescent="0.3">
      <c r="A248" s="16">
        <v>247</v>
      </c>
      <c r="B248" s="16" t="s">
        <v>1641</v>
      </c>
      <c r="C248" s="16" t="str">
        <f>"V2127114335001"</f>
        <v>V2127114335001</v>
      </c>
      <c r="D248" s="16" t="s">
        <v>2495</v>
      </c>
      <c r="E248" s="16" t="s">
        <v>2490</v>
      </c>
      <c r="F248" s="21">
        <v>9781259585098</v>
      </c>
      <c r="G248" s="16" t="s">
        <v>2491</v>
      </c>
      <c r="H248" s="16" t="s">
        <v>13</v>
      </c>
      <c r="I248" s="16">
        <v>2013</v>
      </c>
      <c r="J248" s="16" t="s">
        <v>2496</v>
      </c>
      <c r="K248" s="16" t="s">
        <v>2497</v>
      </c>
      <c r="L248" s="16" t="s">
        <v>15</v>
      </c>
      <c r="M248" s="16" t="s">
        <v>2498</v>
      </c>
      <c r="N248" s="16"/>
      <c r="O248" s="16"/>
    </row>
    <row r="249" spans="1:15" x14ac:dyDescent="0.3">
      <c r="A249" s="16">
        <v>248</v>
      </c>
      <c r="B249" s="16" t="s">
        <v>1641</v>
      </c>
      <c r="C249" s="16" t="str">
        <f>"V2127114337001"</f>
        <v>V2127114337001</v>
      </c>
      <c r="D249" s="16" t="s">
        <v>2499</v>
      </c>
      <c r="E249" s="16" t="s">
        <v>2490</v>
      </c>
      <c r="F249" s="21">
        <v>9781259585098</v>
      </c>
      <c r="G249" s="16" t="s">
        <v>2491</v>
      </c>
      <c r="H249" s="16" t="s">
        <v>13</v>
      </c>
      <c r="I249" s="16">
        <v>2013</v>
      </c>
      <c r="J249" s="16" t="s">
        <v>2500</v>
      </c>
      <c r="K249" s="16" t="s">
        <v>2501</v>
      </c>
      <c r="L249" s="16" t="s">
        <v>15</v>
      </c>
      <c r="M249" s="16" t="s">
        <v>2502</v>
      </c>
      <c r="N249" s="16"/>
      <c r="O249" s="16"/>
    </row>
    <row r="250" spans="1:15" x14ac:dyDescent="0.3">
      <c r="A250" s="16">
        <v>249</v>
      </c>
      <c r="B250" s="16" t="s">
        <v>1641</v>
      </c>
      <c r="C250" s="16" t="str">
        <f>"V2127137195001"</f>
        <v>V2127137195001</v>
      </c>
      <c r="D250" s="16" t="s">
        <v>2503</v>
      </c>
      <c r="E250" s="16" t="s">
        <v>2490</v>
      </c>
      <c r="F250" s="21">
        <v>9781259585098</v>
      </c>
      <c r="G250" s="16" t="s">
        <v>2491</v>
      </c>
      <c r="H250" s="16" t="s">
        <v>13</v>
      </c>
      <c r="I250" s="16">
        <v>2013</v>
      </c>
      <c r="J250" s="16" t="s">
        <v>2504</v>
      </c>
      <c r="K250" s="16" t="s">
        <v>2505</v>
      </c>
      <c r="L250" s="16" t="s">
        <v>15</v>
      </c>
      <c r="M250" s="16" t="s">
        <v>2506</v>
      </c>
      <c r="N250" s="16"/>
      <c r="O250" s="16"/>
    </row>
    <row r="251" spans="1:15" x14ac:dyDescent="0.3">
      <c r="A251" s="16">
        <v>250</v>
      </c>
      <c r="B251" s="16" t="s">
        <v>1641</v>
      </c>
      <c r="C251" s="16" t="str">
        <f>"V2127145372001"</f>
        <v>V2127145372001</v>
      </c>
      <c r="D251" s="16" t="s">
        <v>2507</v>
      </c>
      <c r="E251" s="16" t="s">
        <v>2490</v>
      </c>
      <c r="F251" s="21">
        <v>9781259585098</v>
      </c>
      <c r="G251" s="16" t="s">
        <v>2491</v>
      </c>
      <c r="H251" s="16" t="s">
        <v>13</v>
      </c>
      <c r="I251" s="16">
        <v>2013</v>
      </c>
      <c r="J251" s="16" t="s">
        <v>2508</v>
      </c>
      <c r="K251" s="16" t="s">
        <v>2509</v>
      </c>
      <c r="L251" s="16" t="s">
        <v>15</v>
      </c>
      <c r="M251" s="16" t="s">
        <v>2510</v>
      </c>
      <c r="N251" s="16"/>
      <c r="O251" s="16"/>
    </row>
    <row r="252" spans="1:15" x14ac:dyDescent="0.3">
      <c r="A252" s="16">
        <v>251</v>
      </c>
      <c r="B252" s="16" t="s">
        <v>1641</v>
      </c>
      <c r="C252" s="16" t="str">
        <f>"V2127151915001"</f>
        <v>V2127151915001</v>
      </c>
      <c r="D252" s="16" t="s">
        <v>2511</v>
      </c>
      <c r="E252" s="16" t="s">
        <v>2490</v>
      </c>
      <c r="F252" s="21">
        <v>9781259585098</v>
      </c>
      <c r="G252" s="16" t="s">
        <v>2491</v>
      </c>
      <c r="H252" s="16" t="s">
        <v>13</v>
      </c>
      <c r="I252" s="16">
        <v>2013</v>
      </c>
      <c r="J252" s="16" t="s">
        <v>2512</v>
      </c>
      <c r="K252" s="16" t="s">
        <v>2513</v>
      </c>
      <c r="L252" s="16" t="s">
        <v>15</v>
      </c>
      <c r="M252" s="16" t="s">
        <v>2514</v>
      </c>
      <c r="N252" s="16"/>
      <c r="O252" s="16"/>
    </row>
    <row r="253" spans="1:15" x14ac:dyDescent="0.3">
      <c r="A253" s="16">
        <v>252</v>
      </c>
      <c r="B253" s="16" t="s">
        <v>1641</v>
      </c>
      <c r="C253" s="16" t="str">
        <f>"V2127151918001"</f>
        <v>V2127151918001</v>
      </c>
      <c r="D253" s="16" t="s">
        <v>2515</v>
      </c>
      <c r="E253" s="16" t="s">
        <v>2490</v>
      </c>
      <c r="F253" s="21">
        <v>9781259585098</v>
      </c>
      <c r="G253" s="16" t="s">
        <v>2491</v>
      </c>
      <c r="H253" s="16" t="s">
        <v>13</v>
      </c>
      <c r="I253" s="16">
        <v>2013</v>
      </c>
      <c r="J253" s="16" t="s">
        <v>2516</v>
      </c>
      <c r="K253" s="16" t="s">
        <v>2517</v>
      </c>
      <c r="L253" s="16" t="s">
        <v>15</v>
      </c>
      <c r="M253" s="16" t="s">
        <v>2518</v>
      </c>
      <c r="N253" s="16"/>
      <c r="O253" s="16"/>
    </row>
    <row r="254" spans="1:15" x14ac:dyDescent="0.3">
      <c r="A254" s="16">
        <v>253</v>
      </c>
      <c r="B254" s="16" t="s">
        <v>1641</v>
      </c>
      <c r="C254" s="16" t="str">
        <f>"V2127151998001"</f>
        <v>V2127151998001</v>
      </c>
      <c r="D254" s="16" t="s">
        <v>2519</v>
      </c>
      <c r="E254" s="16" t="s">
        <v>2490</v>
      </c>
      <c r="F254" s="21">
        <v>9781259585098</v>
      </c>
      <c r="G254" s="16" t="s">
        <v>2491</v>
      </c>
      <c r="H254" s="16" t="s">
        <v>13</v>
      </c>
      <c r="I254" s="16">
        <v>2013</v>
      </c>
      <c r="J254" s="16" t="s">
        <v>2520</v>
      </c>
      <c r="K254" s="16" t="s">
        <v>2521</v>
      </c>
      <c r="L254" s="16" t="s">
        <v>15</v>
      </c>
      <c r="M254" s="16" t="s">
        <v>2522</v>
      </c>
      <c r="N254" s="16"/>
      <c r="O254" s="16"/>
    </row>
    <row r="255" spans="1:15" x14ac:dyDescent="0.3">
      <c r="A255" s="16">
        <v>254</v>
      </c>
      <c r="B255" s="16" t="s">
        <v>1641</v>
      </c>
      <c r="C255" s="16" t="str">
        <f>"V2209870891001"</f>
        <v>V2209870891001</v>
      </c>
      <c r="D255" s="16" t="s">
        <v>2523</v>
      </c>
      <c r="E255" s="16" t="s">
        <v>2490</v>
      </c>
      <c r="F255" s="21">
        <v>9781259585098</v>
      </c>
      <c r="G255" s="16" t="s">
        <v>2524</v>
      </c>
      <c r="H255" s="16" t="s">
        <v>13</v>
      </c>
      <c r="I255" s="16">
        <v>2013</v>
      </c>
      <c r="J255" s="16" t="s">
        <v>2525</v>
      </c>
      <c r="K255" s="16" t="s">
        <v>2526</v>
      </c>
      <c r="L255" s="16" t="s">
        <v>15</v>
      </c>
      <c r="M255" s="16" t="s">
        <v>2527</v>
      </c>
      <c r="N255" s="16"/>
      <c r="O255" s="16"/>
    </row>
    <row r="256" spans="1:15" x14ac:dyDescent="0.3">
      <c r="A256" s="16">
        <v>255</v>
      </c>
      <c r="B256" s="16" t="s">
        <v>1641</v>
      </c>
      <c r="C256" s="16" t="str">
        <f>"V2209870892001"</f>
        <v>V2209870892001</v>
      </c>
      <c r="D256" s="16" t="s">
        <v>2528</v>
      </c>
      <c r="E256" s="16" t="s">
        <v>2490</v>
      </c>
      <c r="F256" s="21">
        <v>9781259585098</v>
      </c>
      <c r="G256" s="16" t="s">
        <v>2524</v>
      </c>
      <c r="H256" s="16" t="s">
        <v>13</v>
      </c>
      <c r="I256" s="16">
        <v>2013</v>
      </c>
      <c r="J256" s="16" t="s">
        <v>2529</v>
      </c>
      <c r="K256" s="16" t="s">
        <v>2530</v>
      </c>
      <c r="L256" s="16" t="s">
        <v>15</v>
      </c>
      <c r="M256" s="16" t="s">
        <v>2531</v>
      </c>
      <c r="N256" s="16"/>
      <c r="O256" s="16"/>
    </row>
    <row r="257" spans="1:15" x14ac:dyDescent="0.3">
      <c r="A257" s="16">
        <v>256</v>
      </c>
      <c r="B257" s="16" t="s">
        <v>1641</v>
      </c>
      <c r="C257" s="16" t="str">
        <f>"V2209870893001"</f>
        <v>V2209870893001</v>
      </c>
      <c r="D257" s="16" t="s">
        <v>2532</v>
      </c>
      <c r="E257" s="16" t="s">
        <v>2490</v>
      </c>
      <c r="F257" s="21">
        <v>9781259585098</v>
      </c>
      <c r="G257" s="16" t="s">
        <v>2524</v>
      </c>
      <c r="H257" s="16" t="s">
        <v>13</v>
      </c>
      <c r="I257" s="16">
        <v>2013</v>
      </c>
      <c r="J257" s="16" t="s">
        <v>2533</v>
      </c>
      <c r="K257" s="16" t="s">
        <v>2534</v>
      </c>
      <c r="L257" s="16" t="s">
        <v>15</v>
      </c>
      <c r="M257" s="16" t="s">
        <v>2535</v>
      </c>
      <c r="N257" s="16"/>
      <c r="O257" s="16"/>
    </row>
    <row r="258" spans="1:15" x14ac:dyDescent="0.3">
      <c r="A258" s="16">
        <v>257</v>
      </c>
      <c r="B258" s="16" t="s">
        <v>1641</v>
      </c>
      <c r="C258" s="16" t="str">
        <f>"V2209878255001"</f>
        <v>V2209878255001</v>
      </c>
      <c r="D258" s="16" t="s">
        <v>2536</v>
      </c>
      <c r="E258" s="16" t="s">
        <v>2490</v>
      </c>
      <c r="F258" s="21">
        <v>9781259585098</v>
      </c>
      <c r="G258" s="16" t="s">
        <v>2524</v>
      </c>
      <c r="H258" s="16" t="s">
        <v>13</v>
      </c>
      <c r="I258" s="16">
        <v>2013</v>
      </c>
      <c r="J258" s="16" t="s">
        <v>2537</v>
      </c>
      <c r="K258" s="16" t="s">
        <v>2538</v>
      </c>
      <c r="L258" s="16" t="s">
        <v>15</v>
      </c>
      <c r="M258" s="16" t="s">
        <v>2539</v>
      </c>
      <c r="N258" s="16"/>
      <c r="O258" s="16"/>
    </row>
    <row r="259" spans="1:15" x14ac:dyDescent="0.3">
      <c r="A259" s="16">
        <v>258</v>
      </c>
      <c r="B259" s="16" t="s">
        <v>1641</v>
      </c>
      <c r="C259" s="16" t="str">
        <f>"V2209878256001"</f>
        <v>V2209878256001</v>
      </c>
      <c r="D259" s="16" t="s">
        <v>2540</v>
      </c>
      <c r="E259" s="16" t="s">
        <v>2490</v>
      </c>
      <c r="F259" s="21">
        <v>9781259585098</v>
      </c>
      <c r="G259" s="16" t="s">
        <v>2524</v>
      </c>
      <c r="H259" s="16" t="s">
        <v>13</v>
      </c>
      <c r="I259" s="16">
        <v>2013</v>
      </c>
      <c r="J259" s="16" t="s">
        <v>2541</v>
      </c>
      <c r="K259" s="16" t="s">
        <v>2542</v>
      </c>
      <c r="L259" s="16" t="s">
        <v>15</v>
      </c>
      <c r="M259" s="16" t="s">
        <v>2543</v>
      </c>
      <c r="N259" s="16"/>
      <c r="O259" s="16"/>
    </row>
    <row r="260" spans="1:15" x14ac:dyDescent="0.3">
      <c r="A260" s="16">
        <v>259</v>
      </c>
      <c r="B260" s="16" t="s">
        <v>1641</v>
      </c>
      <c r="C260" s="16" t="str">
        <f>"V2209880957001"</f>
        <v>V2209880957001</v>
      </c>
      <c r="D260" s="16" t="s">
        <v>2544</v>
      </c>
      <c r="E260" s="16" t="s">
        <v>2490</v>
      </c>
      <c r="F260" s="21">
        <v>9781259585098</v>
      </c>
      <c r="G260" s="16" t="s">
        <v>2524</v>
      </c>
      <c r="H260" s="16" t="s">
        <v>13</v>
      </c>
      <c r="I260" s="16">
        <v>2013</v>
      </c>
      <c r="J260" s="16" t="s">
        <v>2545</v>
      </c>
      <c r="K260" s="16" t="s">
        <v>2546</v>
      </c>
      <c r="L260" s="16" t="s">
        <v>15</v>
      </c>
      <c r="M260" s="16" t="s">
        <v>2547</v>
      </c>
      <c r="N260" s="16"/>
      <c r="O260" s="16"/>
    </row>
    <row r="261" spans="1:15" x14ac:dyDescent="0.3">
      <c r="A261" s="16">
        <v>260</v>
      </c>
      <c r="B261" s="16" t="s">
        <v>1641</v>
      </c>
      <c r="C261" s="16" t="str">
        <f>"V2209880958001"</f>
        <v>V2209880958001</v>
      </c>
      <c r="D261" s="16" t="s">
        <v>2548</v>
      </c>
      <c r="E261" s="16" t="s">
        <v>2490</v>
      </c>
      <c r="F261" s="21">
        <v>9781259585098</v>
      </c>
      <c r="G261" s="16" t="s">
        <v>2524</v>
      </c>
      <c r="H261" s="16" t="s">
        <v>13</v>
      </c>
      <c r="I261" s="16">
        <v>2013</v>
      </c>
      <c r="J261" s="16" t="s">
        <v>2549</v>
      </c>
      <c r="K261" s="16" t="s">
        <v>2550</v>
      </c>
      <c r="L261" s="16" t="s">
        <v>15</v>
      </c>
      <c r="M261" s="16" t="s">
        <v>2551</v>
      </c>
      <c r="N261" s="16"/>
      <c r="O261" s="16"/>
    </row>
    <row r="262" spans="1:15" x14ac:dyDescent="0.3">
      <c r="A262" s="16">
        <v>261</v>
      </c>
      <c r="B262" s="16" t="s">
        <v>1641</v>
      </c>
      <c r="C262" s="16" t="str">
        <f>"V2212318077001"</f>
        <v>V2212318077001</v>
      </c>
      <c r="D262" s="16" t="s">
        <v>2552</v>
      </c>
      <c r="E262" s="16" t="s">
        <v>2490</v>
      </c>
      <c r="F262" s="21">
        <v>9781259585098</v>
      </c>
      <c r="G262" s="16" t="s">
        <v>2524</v>
      </c>
      <c r="H262" s="16" t="s">
        <v>13</v>
      </c>
      <c r="I262" s="16">
        <v>2013</v>
      </c>
      <c r="J262" s="16" t="s">
        <v>2553</v>
      </c>
      <c r="K262" s="16" t="s">
        <v>2554</v>
      </c>
      <c r="L262" s="16" t="s">
        <v>15</v>
      </c>
      <c r="M262" s="16" t="s">
        <v>2555</v>
      </c>
      <c r="N262" s="16"/>
      <c r="O262" s="16"/>
    </row>
    <row r="263" spans="1:15" x14ac:dyDescent="0.3">
      <c r="A263" s="16">
        <v>262</v>
      </c>
      <c r="B263" s="16" t="s">
        <v>1641</v>
      </c>
      <c r="C263" s="16" t="str">
        <f>"V2219465500001"</f>
        <v>V2219465500001</v>
      </c>
      <c r="D263" s="16" t="s">
        <v>2556</v>
      </c>
      <c r="E263" s="16" t="s">
        <v>2557</v>
      </c>
      <c r="F263" s="19" t="s">
        <v>2558</v>
      </c>
      <c r="G263" s="16" t="s">
        <v>1714</v>
      </c>
      <c r="H263" s="16" t="s">
        <v>13</v>
      </c>
      <c r="I263" s="16">
        <v>2013</v>
      </c>
      <c r="J263" s="16" t="s">
        <v>2559</v>
      </c>
      <c r="K263" s="16" t="s">
        <v>1926</v>
      </c>
      <c r="L263" s="16" t="s">
        <v>15</v>
      </c>
      <c r="M263" s="16" t="s">
        <v>2560</v>
      </c>
      <c r="N263" s="16"/>
      <c r="O263" s="16"/>
    </row>
    <row r="264" spans="1:15" x14ac:dyDescent="0.3">
      <c r="A264" s="16">
        <v>263</v>
      </c>
      <c r="B264" s="16" t="s">
        <v>1641</v>
      </c>
      <c r="C264" s="16" t="str">
        <f>"V2219465501001"</f>
        <v>V2219465501001</v>
      </c>
      <c r="D264" s="16" t="s">
        <v>2561</v>
      </c>
      <c r="E264" s="16" t="s">
        <v>2557</v>
      </c>
      <c r="F264" s="19" t="s">
        <v>2558</v>
      </c>
      <c r="G264" s="16" t="s">
        <v>2562</v>
      </c>
      <c r="H264" s="16" t="s">
        <v>13</v>
      </c>
      <c r="I264" s="16">
        <v>2013</v>
      </c>
      <c r="J264" s="16" t="s">
        <v>2563</v>
      </c>
      <c r="K264" s="16" t="s">
        <v>1969</v>
      </c>
      <c r="L264" s="16" t="s">
        <v>15</v>
      </c>
      <c r="M264" s="16" t="s">
        <v>2564</v>
      </c>
      <c r="N264" s="16"/>
      <c r="O264" s="16"/>
    </row>
    <row r="265" spans="1:15" x14ac:dyDescent="0.3">
      <c r="A265" s="16">
        <v>264</v>
      </c>
      <c r="B265" s="16" t="s">
        <v>1641</v>
      </c>
      <c r="C265" s="16" t="str">
        <f>"V2219465502001"</f>
        <v>V2219465502001</v>
      </c>
      <c r="D265" s="16" t="s">
        <v>2565</v>
      </c>
      <c r="E265" s="16" t="s">
        <v>2557</v>
      </c>
      <c r="F265" s="19" t="s">
        <v>2558</v>
      </c>
      <c r="G265" s="16" t="s">
        <v>1714</v>
      </c>
      <c r="H265" s="16" t="s">
        <v>13</v>
      </c>
      <c r="I265" s="16">
        <v>2013</v>
      </c>
      <c r="J265" s="16" t="s">
        <v>2566</v>
      </c>
      <c r="K265" s="16" t="s">
        <v>2567</v>
      </c>
      <c r="L265" s="16" t="s">
        <v>15</v>
      </c>
      <c r="M265" s="16" t="s">
        <v>2568</v>
      </c>
      <c r="N265" s="16"/>
      <c r="O265" s="16"/>
    </row>
    <row r="266" spans="1:15" x14ac:dyDescent="0.3">
      <c r="A266" s="16">
        <v>265</v>
      </c>
      <c r="B266" s="16" t="s">
        <v>1641</v>
      </c>
      <c r="C266" s="16" t="str">
        <f>"V2219465504001"</f>
        <v>V2219465504001</v>
      </c>
      <c r="D266" s="16" t="s">
        <v>2569</v>
      </c>
      <c r="E266" s="16" t="s">
        <v>2557</v>
      </c>
      <c r="F266" s="19" t="s">
        <v>2558</v>
      </c>
      <c r="G266" s="16" t="s">
        <v>1714</v>
      </c>
      <c r="H266" s="16" t="s">
        <v>13</v>
      </c>
      <c r="I266" s="16">
        <v>2013</v>
      </c>
      <c r="J266" s="16" t="s">
        <v>2570</v>
      </c>
      <c r="K266" s="16" t="s">
        <v>64</v>
      </c>
      <c r="L266" s="16" t="s">
        <v>15</v>
      </c>
      <c r="M266" s="16" t="s">
        <v>2571</v>
      </c>
      <c r="N266" s="16"/>
      <c r="O266" s="16"/>
    </row>
    <row r="267" spans="1:15" x14ac:dyDescent="0.3">
      <c r="A267" s="16">
        <v>266</v>
      </c>
      <c r="B267" s="16" t="s">
        <v>1641</v>
      </c>
      <c r="C267" s="16" t="str">
        <f>"V2219465505001"</f>
        <v>V2219465505001</v>
      </c>
      <c r="D267" s="16" t="s">
        <v>2572</v>
      </c>
      <c r="E267" s="16" t="s">
        <v>2557</v>
      </c>
      <c r="F267" s="19" t="s">
        <v>2558</v>
      </c>
      <c r="G267" s="16" t="s">
        <v>2562</v>
      </c>
      <c r="H267" s="16" t="s">
        <v>13</v>
      </c>
      <c r="I267" s="16">
        <v>2013</v>
      </c>
      <c r="J267" s="16" t="s">
        <v>2573</v>
      </c>
      <c r="K267" s="16" t="s">
        <v>2574</v>
      </c>
      <c r="L267" s="16" t="s">
        <v>15</v>
      </c>
      <c r="M267" s="16" t="s">
        <v>2575</v>
      </c>
      <c r="N267" s="16"/>
      <c r="O267" s="16"/>
    </row>
    <row r="268" spans="1:15" x14ac:dyDescent="0.3">
      <c r="A268" s="16">
        <v>267</v>
      </c>
      <c r="B268" s="16" t="s">
        <v>1641</v>
      </c>
      <c r="C268" s="16" t="str">
        <f>"V2219481723001"</f>
        <v>V2219481723001</v>
      </c>
      <c r="D268" s="16" t="s">
        <v>2576</v>
      </c>
      <c r="E268" s="16" t="s">
        <v>2557</v>
      </c>
      <c r="F268" s="19" t="s">
        <v>2558</v>
      </c>
      <c r="G268" s="16" t="s">
        <v>1714</v>
      </c>
      <c r="H268" s="16" t="s">
        <v>13</v>
      </c>
      <c r="I268" s="16">
        <v>2013</v>
      </c>
      <c r="J268" s="16" t="s">
        <v>2577</v>
      </c>
      <c r="K268" s="16" t="s">
        <v>2001</v>
      </c>
      <c r="L268" s="16" t="s">
        <v>15</v>
      </c>
      <c r="M268" s="16" t="s">
        <v>2578</v>
      </c>
      <c r="N268" s="16"/>
      <c r="O268" s="16"/>
    </row>
    <row r="269" spans="1:15" x14ac:dyDescent="0.3">
      <c r="A269" s="16">
        <v>268</v>
      </c>
      <c r="B269" s="16" t="s">
        <v>1641</v>
      </c>
      <c r="C269" s="16" t="str">
        <f>"V2219481724001"</f>
        <v>V2219481724001</v>
      </c>
      <c r="D269" s="16" t="s">
        <v>2579</v>
      </c>
      <c r="E269" s="16" t="s">
        <v>2557</v>
      </c>
      <c r="F269" s="19" t="s">
        <v>2558</v>
      </c>
      <c r="G269" s="16" t="s">
        <v>1714</v>
      </c>
      <c r="H269" s="16" t="s">
        <v>13</v>
      </c>
      <c r="I269" s="16">
        <v>2013</v>
      </c>
      <c r="J269" s="16" t="s">
        <v>2580</v>
      </c>
      <c r="K269" s="16" t="s">
        <v>142</v>
      </c>
      <c r="L269" s="16" t="s">
        <v>15</v>
      </c>
      <c r="M269" s="16" t="s">
        <v>2581</v>
      </c>
      <c r="N269" s="16"/>
      <c r="O269" s="16"/>
    </row>
    <row r="270" spans="1:15" x14ac:dyDescent="0.3">
      <c r="A270" s="16">
        <v>269</v>
      </c>
      <c r="B270" s="16" t="s">
        <v>1641</v>
      </c>
      <c r="C270" s="16" t="str">
        <f>"V2219481726001"</f>
        <v>V2219481726001</v>
      </c>
      <c r="D270" s="16" t="s">
        <v>2582</v>
      </c>
      <c r="E270" s="16" t="s">
        <v>2557</v>
      </c>
      <c r="F270" s="19" t="s">
        <v>2558</v>
      </c>
      <c r="G270" s="16" t="s">
        <v>1714</v>
      </c>
      <c r="H270" s="16" t="s">
        <v>13</v>
      </c>
      <c r="I270" s="16">
        <v>2013</v>
      </c>
      <c r="J270" s="16" t="s">
        <v>2583</v>
      </c>
      <c r="K270" s="16" t="s">
        <v>1617</v>
      </c>
      <c r="L270" s="16" t="s">
        <v>15</v>
      </c>
      <c r="M270" s="16" t="s">
        <v>2584</v>
      </c>
      <c r="N270" s="16"/>
      <c r="O270" s="16"/>
    </row>
    <row r="271" spans="1:15" x14ac:dyDescent="0.3">
      <c r="A271" s="16">
        <v>270</v>
      </c>
      <c r="B271" s="16" t="s">
        <v>1641</v>
      </c>
      <c r="C271" s="16" t="str">
        <f>"V2219481727001"</f>
        <v>V2219481727001</v>
      </c>
      <c r="D271" s="16" t="s">
        <v>2585</v>
      </c>
      <c r="E271" s="16" t="s">
        <v>2557</v>
      </c>
      <c r="F271" s="19" t="s">
        <v>2558</v>
      </c>
      <c r="G271" s="16" t="s">
        <v>2562</v>
      </c>
      <c r="H271" s="16" t="s">
        <v>13</v>
      </c>
      <c r="I271" s="16">
        <v>2013</v>
      </c>
      <c r="J271" s="16" t="s">
        <v>2586</v>
      </c>
      <c r="K271" s="16" t="s">
        <v>1954</v>
      </c>
      <c r="L271" s="16" t="s">
        <v>15</v>
      </c>
      <c r="M271" s="16" t="s">
        <v>2587</v>
      </c>
      <c r="N271" s="16"/>
      <c r="O271" s="16"/>
    </row>
    <row r="272" spans="1:15" x14ac:dyDescent="0.3">
      <c r="A272" s="16">
        <v>271</v>
      </c>
      <c r="B272" s="16" t="s">
        <v>1641</v>
      </c>
      <c r="C272" s="16" t="str">
        <f>"V2219481728001"</f>
        <v>V2219481728001</v>
      </c>
      <c r="D272" s="16" t="s">
        <v>2588</v>
      </c>
      <c r="E272" s="16" t="s">
        <v>2557</v>
      </c>
      <c r="F272" s="19" t="s">
        <v>2558</v>
      </c>
      <c r="G272" s="16" t="s">
        <v>2562</v>
      </c>
      <c r="H272" s="16" t="s">
        <v>13</v>
      </c>
      <c r="I272" s="16">
        <v>2013</v>
      </c>
      <c r="J272" s="16" t="s">
        <v>2589</v>
      </c>
      <c r="K272" s="16" t="s">
        <v>2590</v>
      </c>
      <c r="L272" s="16" t="s">
        <v>15</v>
      </c>
      <c r="M272" s="16" t="s">
        <v>2591</v>
      </c>
      <c r="N272" s="16"/>
      <c r="O272" s="16"/>
    </row>
    <row r="273" spans="1:15" x14ac:dyDescent="0.3">
      <c r="A273" s="16">
        <v>272</v>
      </c>
      <c r="B273" s="16" t="s">
        <v>1641</v>
      </c>
      <c r="C273" s="16" t="str">
        <f>"V2219481729001"</f>
        <v>V2219481729001</v>
      </c>
      <c r="D273" s="16" t="s">
        <v>2592</v>
      </c>
      <c r="E273" s="16" t="s">
        <v>2557</v>
      </c>
      <c r="F273" s="19" t="s">
        <v>2558</v>
      </c>
      <c r="G273" s="16" t="s">
        <v>1714</v>
      </c>
      <c r="H273" s="16" t="s">
        <v>13</v>
      </c>
      <c r="I273" s="16">
        <v>2013</v>
      </c>
      <c r="J273" s="16" t="s">
        <v>2593</v>
      </c>
      <c r="K273" s="16" t="s">
        <v>2594</v>
      </c>
      <c r="L273" s="16" t="s">
        <v>15</v>
      </c>
      <c r="M273" s="16" t="s">
        <v>2595</v>
      </c>
      <c r="N273" s="16"/>
      <c r="O273" s="16"/>
    </row>
    <row r="274" spans="1:15" x14ac:dyDescent="0.3">
      <c r="A274" s="16">
        <v>273</v>
      </c>
      <c r="B274" s="16" t="s">
        <v>1641</v>
      </c>
      <c r="C274" s="16" t="str">
        <f>"V2219481731001"</f>
        <v>V2219481731001</v>
      </c>
      <c r="D274" s="16" t="s">
        <v>2596</v>
      </c>
      <c r="E274" s="16" t="s">
        <v>2557</v>
      </c>
      <c r="F274" s="19" t="s">
        <v>2558</v>
      </c>
      <c r="G274" s="16" t="s">
        <v>2562</v>
      </c>
      <c r="H274" s="16" t="s">
        <v>13</v>
      </c>
      <c r="I274" s="16">
        <v>2013</v>
      </c>
      <c r="J274" s="16" t="s">
        <v>2597</v>
      </c>
      <c r="K274" s="16" t="s">
        <v>1954</v>
      </c>
      <c r="L274" s="16" t="s">
        <v>15</v>
      </c>
      <c r="M274" s="16" t="s">
        <v>2598</v>
      </c>
      <c r="N274" s="16"/>
      <c r="O274" s="16"/>
    </row>
    <row r="275" spans="1:15" x14ac:dyDescent="0.3">
      <c r="A275" s="16">
        <v>274</v>
      </c>
      <c r="B275" s="16" t="s">
        <v>1641</v>
      </c>
      <c r="C275" s="16" t="str">
        <f>"V2219481732001"</f>
        <v>V2219481732001</v>
      </c>
      <c r="D275" s="16" t="s">
        <v>2599</v>
      </c>
      <c r="E275" s="16" t="s">
        <v>2557</v>
      </c>
      <c r="F275" s="19" t="s">
        <v>2558</v>
      </c>
      <c r="G275" s="16" t="s">
        <v>1714</v>
      </c>
      <c r="H275" s="16" t="s">
        <v>13</v>
      </c>
      <c r="I275" s="16">
        <v>2013</v>
      </c>
      <c r="J275" s="16" t="s">
        <v>2600</v>
      </c>
      <c r="K275" s="16" t="s">
        <v>2601</v>
      </c>
      <c r="L275" s="16" t="s">
        <v>15</v>
      </c>
      <c r="M275" s="16" t="s">
        <v>2602</v>
      </c>
      <c r="N275" s="16"/>
      <c r="O275" s="16"/>
    </row>
    <row r="276" spans="1:15" x14ac:dyDescent="0.3">
      <c r="A276" s="16">
        <v>275</v>
      </c>
      <c r="B276" s="16" t="s">
        <v>1641</v>
      </c>
      <c r="C276" s="16" t="str">
        <f>"V2219503893001"</f>
        <v>V2219503893001</v>
      </c>
      <c r="D276" s="16" t="s">
        <v>2603</v>
      </c>
      <c r="E276" s="16" t="s">
        <v>2557</v>
      </c>
      <c r="F276" s="19" t="s">
        <v>2558</v>
      </c>
      <c r="G276" s="16" t="s">
        <v>1714</v>
      </c>
      <c r="H276" s="16" t="s">
        <v>13</v>
      </c>
      <c r="I276" s="16">
        <v>2013</v>
      </c>
      <c r="J276" s="16" t="s">
        <v>2604</v>
      </c>
      <c r="K276" s="16" t="s">
        <v>2605</v>
      </c>
      <c r="L276" s="16" t="s">
        <v>15</v>
      </c>
      <c r="M276" s="16" t="s">
        <v>2606</v>
      </c>
      <c r="N276" s="16"/>
      <c r="O276" s="16"/>
    </row>
    <row r="277" spans="1:15" x14ac:dyDescent="0.3">
      <c r="A277" s="16">
        <v>276</v>
      </c>
      <c r="B277" s="16" t="s">
        <v>1641</v>
      </c>
      <c r="C277" s="16" t="str">
        <f>"V2219503894001"</f>
        <v>V2219503894001</v>
      </c>
      <c r="D277" s="16" t="s">
        <v>2607</v>
      </c>
      <c r="E277" s="16" t="s">
        <v>2557</v>
      </c>
      <c r="F277" s="19" t="s">
        <v>2558</v>
      </c>
      <c r="G277" s="16" t="s">
        <v>2562</v>
      </c>
      <c r="H277" s="16" t="s">
        <v>13</v>
      </c>
      <c r="I277" s="16">
        <v>2013</v>
      </c>
      <c r="J277" s="16" t="s">
        <v>2608</v>
      </c>
      <c r="K277" s="16" t="s">
        <v>1617</v>
      </c>
      <c r="L277" s="16" t="s">
        <v>15</v>
      </c>
      <c r="M277" s="16" t="s">
        <v>2609</v>
      </c>
      <c r="N277" s="16"/>
      <c r="O277" s="16"/>
    </row>
    <row r="278" spans="1:15" x14ac:dyDescent="0.3">
      <c r="A278" s="16">
        <v>277</v>
      </c>
      <c r="B278" s="16" t="s">
        <v>1641</v>
      </c>
      <c r="C278" s="16" t="str">
        <f>"V2219503895001"</f>
        <v>V2219503895001</v>
      </c>
      <c r="D278" s="16" t="s">
        <v>2610</v>
      </c>
      <c r="E278" s="16" t="s">
        <v>2557</v>
      </c>
      <c r="F278" s="19" t="s">
        <v>2558</v>
      </c>
      <c r="G278" s="16" t="s">
        <v>2562</v>
      </c>
      <c r="H278" s="16" t="s">
        <v>13</v>
      </c>
      <c r="I278" s="16">
        <v>2013</v>
      </c>
      <c r="J278" s="16" t="s">
        <v>2611</v>
      </c>
      <c r="K278" s="16" t="s">
        <v>64</v>
      </c>
      <c r="L278" s="16" t="s">
        <v>15</v>
      </c>
      <c r="M278" s="16" t="s">
        <v>2612</v>
      </c>
      <c r="N278" s="16"/>
      <c r="O278" s="16"/>
    </row>
    <row r="279" spans="1:15" x14ac:dyDescent="0.3">
      <c r="A279" s="16">
        <v>278</v>
      </c>
      <c r="B279" s="16" t="s">
        <v>1641</v>
      </c>
      <c r="C279" s="16" t="str">
        <f>"V2219503897001"</f>
        <v>V2219503897001</v>
      </c>
      <c r="D279" s="16" t="s">
        <v>2613</v>
      </c>
      <c r="E279" s="16" t="s">
        <v>2557</v>
      </c>
      <c r="F279" s="19" t="s">
        <v>2558</v>
      </c>
      <c r="G279" s="16" t="s">
        <v>1714</v>
      </c>
      <c r="H279" s="16" t="s">
        <v>13</v>
      </c>
      <c r="I279" s="16">
        <v>2013</v>
      </c>
      <c r="J279" s="16" t="s">
        <v>2614</v>
      </c>
      <c r="K279" s="16" t="s">
        <v>1617</v>
      </c>
      <c r="L279" s="16" t="s">
        <v>15</v>
      </c>
      <c r="M279" s="16" t="s">
        <v>2615</v>
      </c>
      <c r="N279" s="16"/>
      <c r="O279" s="16"/>
    </row>
    <row r="280" spans="1:15" x14ac:dyDescent="0.3">
      <c r="A280" s="16">
        <v>279</v>
      </c>
      <c r="B280" s="16" t="s">
        <v>1641</v>
      </c>
      <c r="C280" s="16" t="str">
        <f>"V2219503899001"</f>
        <v>V2219503899001</v>
      </c>
      <c r="D280" s="16" t="s">
        <v>2616</v>
      </c>
      <c r="E280" s="16" t="s">
        <v>2557</v>
      </c>
      <c r="F280" s="19" t="s">
        <v>2558</v>
      </c>
      <c r="G280" s="16" t="s">
        <v>1714</v>
      </c>
      <c r="H280" s="16" t="s">
        <v>13</v>
      </c>
      <c r="I280" s="16">
        <v>2013</v>
      </c>
      <c r="J280" s="16" t="s">
        <v>2617</v>
      </c>
      <c r="K280" s="16" t="s">
        <v>1117</v>
      </c>
      <c r="L280" s="16" t="s">
        <v>15</v>
      </c>
      <c r="M280" s="16" t="s">
        <v>2618</v>
      </c>
      <c r="N280" s="16"/>
      <c r="O280" s="16"/>
    </row>
    <row r="281" spans="1:15" x14ac:dyDescent="0.3">
      <c r="A281" s="16">
        <v>280</v>
      </c>
      <c r="B281" s="16" t="s">
        <v>1641</v>
      </c>
      <c r="C281" s="16" t="str">
        <f>"V2219503900001"</f>
        <v>V2219503900001</v>
      </c>
      <c r="D281" s="16" t="s">
        <v>2619</v>
      </c>
      <c r="E281" s="16" t="s">
        <v>2557</v>
      </c>
      <c r="F281" s="19" t="s">
        <v>2558</v>
      </c>
      <c r="G281" s="16" t="s">
        <v>2562</v>
      </c>
      <c r="H281" s="16" t="s">
        <v>13</v>
      </c>
      <c r="I281" s="16">
        <v>2013</v>
      </c>
      <c r="J281" s="16" t="s">
        <v>2620</v>
      </c>
      <c r="K281" s="16" t="s">
        <v>64</v>
      </c>
      <c r="L281" s="16" t="s">
        <v>15</v>
      </c>
      <c r="M281" s="16" t="s">
        <v>2621</v>
      </c>
      <c r="N281" s="16"/>
      <c r="O281" s="16"/>
    </row>
    <row r="282" spans="1:15" x14ac:dyDescent="0.3">
      <c r="A282" s="16">
        <v>281</v>
      </c>
      <c r="B282" s="16" t="s">
        <v>1641</v>
      </c>
      <c r="C282" s="16" t="str">
        <f>"V2219503901001"</f>
        <v>V2219503901001</v>
      </c>
      <c r="D282" s="16" t="s">
        <v>2622</v>
      </c>
      <c r="E282" s="16" t="s">
        <v>2557</v>
      </c>
      <c r="F282" s="19" t="s">
        <v>2558</v>
      </c>
      <c r="G282" s="16" t="s">
        <v>1714</v>
      </c>
      <c r="H282" s="16" t="s">
        <v>13</v>
      </c>
      <c r="I282" s="16">
        <v>2013</v>
      </c>
      <c r="J282" s="16" t="s">
        <v>2623</v>
      </c>
      <c r="K282" s="16" t="s">
        <v>2624</v>
      </c>
      <c r="L282" s="16" t="s">
        <v>15</v>
      </c>
      <c r="M282" s="16" t="s">
        <v>2625</v>
      </c>
      <c r="N282" s="16"/>
      <c r="O282" s="16"/>
    </row>
    <row r="283" spans="1:15" x14ac:dyDescent="0.3">
      <c r="A283" s="16">
        <v>282</v>
      </c>
      <c r="B283" s="16" t="s">
        <v>1641</v>
      </c>
      <c r="C283" s="16" t="str">
        <f>"V2219503902001"</f>
        <v>V2219503902001</v>
      </c>
      <c r="D283" s="16" t="s">
        <v>2626</v>
      </c>
      <c r="E283" s="16" t="s">
        <v>2557</v>
      </c>
      <c r="F283" s="19" t="s">
        <v>2558</v>
      </c>
      <c r="G283" s="16" t="s">
        <v>2562</v>
      </c>
      <c r="H283" s="16" t="s">
        <v>13</v>
      </c>
      <c r="I283" s="16">
        <v>2013</v>
      </c>
      <c r="J283" s="16" t="s">
        <v>2627</v>
      </c>
      <c r="K283" s="16" t="s">
        <v>1987</v>
      </c>
      <c r="L283" s="16" t="s">
        <v>15</v>
      </c>
      <c r="M283" s="16" t="s">
        <v>2628</v>
      </c>
      <c r="N283" s="16"/>
      <c r="O283" s="16"/>
    </row>
    <row r="284" spans="1:15" x14ac:dyDescent="0.3">
      <c r="A284" s="16">
        <v>283</v>
      </c>
      <c r="B284" s="16" t="s">
        <v>1641</v>
      </c>
      <c r="C284" s="16" t="str">
        <f>"V2219508332001"</f>
        <v>V2219508332001</v>
      </c>
      <c r="D284" s="16" t="s">
        <v>2629</v>
      </c>
      <c r="E284" s="16" t="s">
        <v>2557</v>
      </c>
      <c r="F284" s="19" t="s">
        <v>2558</v>
      </c>
      <c r="G284" s="16" t="s">
        <v>2562</v>
      </c>
      <c r="H284" s="16" t="s">
        <v>13</v>
      </c>
      <c r="I284" s="16">
        <v>2013</v>
      </c>
      <c r="J284" s="16" t="s">
        <v>2630</v>
      </c>
      <c r="K284" s="16" t="s">
        <v>2631</v>
      </c>
      <c r="L284" s="16" t="s">
        <v>15</v>
      </c>
      <c r="M284" s="16" t="s">
        <v>2632</v>
      </c>
      <c r="N284" s="16"/>
      <c r="O284" s="16"/>
    </row>
    <row r="285" spans="1:15" x14ac:dyDescent="0.3">
      <c r="A285" s="16">
        <v>284</v>
      </c>
      <c r="B285" s="16" t="s">
        <v>1641</v>
      </c>
      <c r="C285" s="16" t="str">
        <f>"V2433899704001"</f>
        <v>V2433899704001</v>
      </c>
      <c r="D285" s="16" t="s">
        <v>2633</v>
      </c>
      <c r="E285" s="16" t="s">
        <v>2634</v>
      </c>
      <c r="F285" s="19" t="s">
        <v>2635</v>
      </c>
      <c r="G285" s="16" t="s">
        <v>2636</v>
      </c>
      <c r="H285" s="16" t="s">
        <v>13</v>
      </c>
      <c r="I285" s="16">
        <v>2013</v>
      </c>
      <c r="J285" s="16" t="s">
        <v>2637</v>
      </c>
      <c r="K285" s="16" t="s">
        <v>2638</v>
      </c>
      <c r="L285" s="16" t="s">
        <v>15</v>
      </c>
      <c r="M285" s="16" t="s">
        <v>2639</v>
      </c>
      <c r="N285" s="16"/>
      <c r="O285" s="16"/>
    </row>
    <row r="286" spans="1:15" x14ac:dyDescent="0.3">
      <c r="A286" s="16">
        <v>285</v>
      </c>
      <c r="B286" s="16" t="s">
        <v>1641</v>
      </c>
      <c r="C286" s="16" t="str">
        <f>"V2433899705001"</f>
        <v>V2433899705001</v>
      </c>
      <c r="D286" s="16" t="s">
        <v>2640</v>
      </c>
      <c r="E286" s="16" t="s">
        <v>2634</v>
      </c>
      <c r="F286" s="19" t="s">
        <v>2635</v>
      </c>
      <c r="G286" s="16" t="s">
        <v>2636</v>
      </c>
      <c r="H286" s="16" t="s">
        <v>13</v>
      </c>
      <c r="I286" s="16">
        <v>2013</v>
      </c>
      <c r="J286" s="16" t="s">
        <v>2641</v>
      </c>
      <c r="K286" s="16" t="s">
        <v>2642</v>
      </c>
      <c r="L286" s="16" t="s">
        <v>15</v>
      </c>
      <c r="M286" s="16" t="s">
        <v>2643</v>
      </c>
      <c r="N286" s="16"/>
      <c r="O286" s="16"/>
    </row>
    <row r="287" spans="1:15" x14ac:dyDescent="0.3">
      <c r="A287" s="16">
        <v>286</v>
      </c>
      <c r="B287" s="16" t="s">
        <v>1641</v>
      </c>
      <c r="C287" s="16" t="str">
        <f>"V2433899707001"</f>
        <v>V2433899707001</v>
      </c>
      <c r="D287" s="16" t="s">
        <v>2644</v>
      </c>
      <c r="E287" s="16" t="s">
        <v>2634</v>
      </c>
      <c r="F287" s="19" t="s">
        <v>2635</v>
      </c>
      <c r="G287" s="16" t="s">
        <v>2636</v>
      </c>
      <c r="H287" s="16" t="s">
        <v>13</v>
      </c>
      <c r="I287" s="16">
        <v>2013</v>
      </c>
      <c r="J287" s="16" t="s">
        <v>2645</v>
      </c>
      <c r="K287" s="16" t="s">
        <v>2646</v>
      </c>
      <c r="L287" s="16" t="s">
        <v>15</v>
      </c>
      <c r="M287" s="16" t="s">
        <v>2647</v>
      </c>
      <c r="N287" s="16"/>
      <c r="O287" s="16"/>
    </row>
    <row r="288" spans="1:15" x14ac:dyDescent="0.3">
      <c r="A288" s="16">
        <v>287</v>
      </c>
      <c r="B288" s="16" t="s">
        <v>1641</v>
      </c>
      <c r="C288" s="16" t="str">
        <f>"V2433899709001"</f>
        <v>V2433899709001</v>
      </c>
      <c r="D288" s="16" t="s">
        <v>2648</v>
      </c>
      <c r="E288" s="16" t="s">
        <v>2634</v>
      </c>
      <c r="F288" s="19" t="s">
        <v>2635</v>
      </c>
      <c r="G288" s="16" t="s">
        <v>2636</v>
      </c>
      <c r="H288" s="16" t="s">
        <v>13</v>
      </c>
      <c r="I288" s="16">
        <v>2013</v>
      </c>
      <c r="J288" s="16" t="s">
        <v>2649</v>
      </c>
      <c r="K288" s="16" t="s">
        <v>2650</v>
      </c>
      <c r="L288" s="16" t="s">
        <v>15</v>
      </c>
      <c r="M288" s="16" t="s">
        <v>2651</v>
      </c>
      <c r="N288" s="16"/>
      <c r="O288" s="16"/>
    </row>
    <row r="289" spans="1:15" x14ac:dyDescent="0.3">
      <c r="A289" s="16">
        <v>288</v>
      </c>
      <c r="B289" s="16" t="s">
        <v>1641</v>
      </c>
      <c r="C289" s="16" t="str">
        <f>"V2433899710001"</f>
        <v>V2433899710001</v>
      </c>
      <c r="D289" s="16" t="s">
        <v>2652</v>
      </c>
      <c r="E289" s="16" t="s">
        <v>2634</v>
      </c>
      <c r="F289" s="19" t="s">
        <v>2635</v>
      </c>
      <c r="G289" s="16" t="s">
        <v>2636</v>
      </c>
      <c r="H289" s="16" t="s">
        <v>13</v>
      </c>
      <c r="I289" s="16">
        <v>2013</v>
      </c>
      <c r="J289" s="16" t="s">
        <v>2653</v>
      </c>
      <c r="K289" s="16" t="s">
        <v>2646</v>
      </c>
      <c r="L289" s="16" t="s">
        <v>15</v>
      </c>
      <c r="M289" s="16" t="s">
        <v>2654</v>
      </c>
      <c r="N289" s="16"/>
      <c r="O289" s="16"/>
    </row>
    <row r="290" spans="1:15" x14ac:dyDescent="0.3">
      <c r="A290" s="16">
        <v>289</v>
      </c>
      <c r="B290" s="16" t="s">
        <v>1641</v>
      </c>
      <c r="C290" s="16" t="str">
        <f>"V2433899711001"</f>
        <v>V2433899711001</v>
      </c>
      <c r="D290" s="16" t="s">
        <v>2655</v>
      </c>
      <c r="E290" s="16" t="s">
        <v>2634</v>
      </c>
      <c r="F290" s="19" t="s">
        <v>2635</v>
      </c>
      <c r="G290" s="16" t="s">
        <v>2636</v>
      </c>
      <c r="H290" s="16" t="s">
        <v>13</v>
      </c>
      <c r="I290" s="16">
        <v>2013</v>
      </c>
      <c r="J290" s="16" t="s">
        <v>2656</v>
      </c>
      <c r="K290" s="16" t="s">
        <v>2657</v>
      </c>
      <c r="L290" s="16" t="s">
        <v>15</v>
      </c>
      <c r="M290" s="16" t="s">
        <v>2658</v>
      </c>
      <c r="N290" s="16"/>
      <c r="O290" s="16"/>
    </row>
    <row r="291" spans="1:15" x14ac:dyDescent="0.3">
      <c r="A291" s="16">
        <v>290</v>
      </c>
      <c r="B291" s="16" t="s">
        <v>1641</v>
      </c>
      <c r="C291" s="16" t="str">
        <f>"V2433899713001"</f>
        <v>V2433899713001</v>
      </c>
      <c r="D291" s="16" t="s">
        <v>2659</v>
      </c>
      <c r="E291" s="16" t="s">
        <v>2634</v>
      </c>
      <c r="F291" s="19" t="s">
        <v>2635</v>
      </c>
      <c r="G291" s="16" t="s">
        <v>2636</v>
      </c>
      <c r="H291" s="16" t="s">
        <v>13</v>
      </c>
      <c r="I291" s="16">
        <v>2013</v>
      </c>
      <c r="J291" s="16" t="s">
        <v>2660</v>
      </c>
      <c r="K291" s="16" t="s">
        <v>67</v>
      </c>
      <c r="L291" s="16" t="s">
        <v>15</v>
      </c>
      <c r="M291" s="16" t="s">
        <v>2661</v>
      </c>
      <c r="N291" s="16"/>
      <c r="O291" s="16"/>
    </row>
    <row r="292" spans="1:15" x14ac:dyDescent="0.3">
      <c r="A292" s="16">
        <v>291</v>
      </c>
      <c r="B292" s="16" t="s">
        <v>1641</v>
      </c>
      <c r="C292" s="16" t="str">
        <f>"V2433952473001"</f>
        <v>V2433952473001</v>
      </c>
      <c r="D292" s="16" t="s">
        <v>2662</v>
      </c>
      <c r="E292" s="16" t="s">
        <v>2634</v>
      </c>
      <c r="F292" s="19" t="s">
        <v>2635</v>
      </c>
      <c r="G292" s="16" t="s">
        <v>2636</v>
      </c>
      <c r="H292" s="16" t="s">
        <v>13</v>
      </c>
      <c r="I292" s="16">
        <v>2013</v>
      </c>
      <c r="J292" s="16" t="s">
        <v>2663</v>
      </c>
      <c r="K292" s="16" t="s">
        <v>2664</v>
      </c>
      <c r="L292" s="16" t="s">
        <v>15</v>
      </c>
      <c r="M292" s="16" t="s">
        <v>2665</v>
      </c>
      <c r="N292" s="16"/>
      <c r="O292" s="16"/>
    </row>
    <row r="293" spans="1:15" x14ac:dyDescent="0.3">
      <c r="A293" s="16">
        <v>292</v>
      </c>
      <c r="B293" s="16" t="s">
        <v>1641</v>
      </c>
      <c r="C293" s="16" t="str">
        <f>"V2433952474001"</f>
        <v>V2433952474001</v>
      </c>
      <c r="D293" s="16" t="s">
        <v>2666</v>
      </c>
      <c r="E293" s="16" t="s">
        <v>2634</v>
      </c>
      <c r="F293" s="19" t="s">
        <v>2635</v>
      </c>
      <c r="G293" s="16" t="s">
        <v>2636</v>
      </c>
      <c r="H293" s="16" t="s">
        <v>13</v>
      </c>
      <c r="I293" s="16">
        <v>2013</v>
      </c>
      <c r="J293" s="16" t="s">
        <v>2667</v>
      </c>
      <c r="K293" s="16" t="s">
        <v>2664</v>
      </c>
      <c r="L293" s="16" t="s">
        <v>15</v>
      </c>
      <c r="M293" s="16" t="s">
        <v>2668</v>
      </c>
      <c r="N293" s="16"/>
      <c r="O293" s="16"/>
    </row>
    <row r="294" spans="1:15" x14ac:dyDescent="0.3">
      <c r="A294" s="16">
        <v>293</v>
      </c>
      <c r="B294" s="16" t="s">
        <v>1641</v>
      </c>
      <c r="C294" s="16" t="str">
        <f>"V2433975065001"</f>
        <v>V2433975065001</v>
      </c>
      <c r="D294" s="16" t="s">
        <v>2669</v>
      </c>
      <c r="E294" s="16" t="s">
        <v>2634</v>
      </c>
      <c r="F294" s="19" t="s">
        <v>2635</v>
      </c>
      <c r="G294" s="16" t="s">
        <v>2636</v>
      </c>
      <c r="H294" s="16" t="s">
        <v>13</v>
      </c>
      <c r="I294" s="16">
        <v>2013</v>
      </c>
      <c r="J294" s="16" t="s">
        <v>2670</v>
      </c>
      <c r="K294" s="16" t="s">
        <v>2671</v>
      </c>
      <c r="L294" s="16" t="s">
        <v>15</v>
      </c>
      <c r="M294" s="16" t="s">
        <v>2672</v>
      </c>
      <c r="N294" s="16"/>
      <c r="O294" s="16"/>
    </row>
    <row r="295" spans="1:15" x14ac:dyDescent="0.3">
      <c r="A295" s="16">
        <v>294</v>
      </c>
      <c r="B295" s="16" t="s">
        <v>1641</v>
      </c>
      <c r="C295" s="16" t="str">
        <f>"V2433975067001"</f>
        <v>V2433975067001</v>
      </c>
      <c r="D295" s="16" t="s">
        <v>2673</v>
      </c>
      <c r="E295" s="16" t="s">
        <v>2634</v>
      </c>
      <c r="F295" s="19" t="s">
        <v>2635</v>
      </c>
      <c r="G295" s="16" t="s">
        <v>2636</v>
      </c>
      <c r="H295" s="16" t="s">
        <v>13</v>
      </c>
      <c r="I295" s="16">
        <v>2013</v>
      </c>
      <c r="J295" s="16" t="s">
        <v>2674</v>
      </c>
      <c r="K295" s="16" t="s">
        <v>2646</v>
      </c>
      <c r="L295" s="16" t="s">
        <v>15</v>
      </c>
      <c r="M295" s="16" t="s">
        <v>2675</v>
      </c>
      <c r="N295" s="16"/>
      <c r="O295" s="16"/>
    </row>
    <row r="296" spans="1:15" x14ac:dyDescent="0.3">
      <c r="A296" s="16">
        <v>295</v>
      </c>
      <c r="B296" s="16" t="s">
        <v>1641</v>
      </c>
      <c r="C296" s="16" t="str">
        <f>"V2433975071001"</f>
        <v>V2433975071001</v>
      </c>
      <c r="D296" s="16" t="s">
        <v>2676</v>
      </c>
      <c r="E296" s="16" t="s">
        <v>2634</v>
      </c>
      <c r="F296" s="19" t="s">
        <v>2635</v>
      </c>
      <c r="G296" s="16" t="s">
        <v>2636</v>
      </c>
      <c r="H296" s="16" t="s">
        <v>13</v>
      </c>
      <c r="I296" s="16">
        <v>2013</v>
      </c>
      <c r="J296" s="16" t="s">
        <v>2677</v>
      </c>
      <c r="K296" s="16" t="s">
        <v>2650</v>
      </c>
      <c r="L296" s="16" t="s">
        <v>15</v>
      </c>
      <c r="M296" s="16" t="s">
        <v>2678</v>
      </c>
      <c r="N296" s="16"/>
      <c r="O296" s="16"/>
    </row>
    <row r="297" spans="1:15" x14ac:dyDescent="0.3">
      <c r="A297" s="16">
        <v>296</v>
      </c>
      <c r="B297" s="16" t="s">
        <v>1641</v>
      </c>
      <c r="C297" s="16" t="str">
        <f>"V2433975072001"</f>
        <v>V2433975072001</v>
      </c>
      <c r="D297" s="16" t="s">
        <v>2679</v>
      </c>
      <c r="E297" s="16" t="s">
        <v>2634</v>
      </c>
      <c r="F297" s="19" t="s">
        <v>2635</v>
      </c>
      <c r="G297" s="16" t="s">
        <v>2636</v>
      </c>
      <c r="H297" s="16" t="s">
        <v>13</v>
      </c>
      <c r="I297" s="16">
        <v>2013</v>
      </c>
      <c r="J297" s="16" t="s">
        <v>2680</v>
      </c>
      <c r="K297" s="16" t="s">
        <v>2642</v>
      </c>
      <c r="L297" s="16" t="s">
        <v>15</v>
      </c>
      <c r="M297" s="16" t="s">
        <v>2681</v>
      </c>
      <c r="N297" s="16"/>
      <c r="O297" s="16"/>
    </row>
    <row r="298" spans="1:15" x14ac:dyDescent="0.3">
      <c r="A298" s="16">
        <v>297</v>
      </c>
      <c r="B298" s="16" t="s">
        <v>1641</v>
      </c>
      <c r="C298" s="16" t="str">
        <f>"V2433975073001"</f>
        <v>V2433975073001</v>
      </c>
      <c r="D298" s="16" t="s">
        <v>2682</v>
      </c>
      <c r="E298" s="16" t="s">
        <v>2634</v>
      </c>
      <c r="F298" s="19" t="s">
        <v>2635</v>
      </c>
      <c r="G298" s="16" t="s">
        <v>2636</v>
      </c>
      <c r="H298" s="16" t="s">
        <v>13</v>
      </c>
      <c r="I298" s="16">
        <v>2013</v>
      </c>
      <c r="J298" s="16" t="s">
        <v>2683</v>
      </c>
      <c r="K298" s="16" t="s">
        <v>2664</v>
      </c>
      <c r="L298" s="16" t="s">
        <v>15</v>
      </c>
      <c r="M298" s="16" t="s">
        <v>2684</v>
      </c>
      <c r="N298" s="16"/>
      <c r="O298" s="16"/>
    </row>
    <row r="299" spans="1:15" x14ac:dyDescent="0.3">
      <c r="A299" s="16">
        <v>298</v>
      </c>
      <c r="B299" s="16" t="s">
        <v>1641</v>
      </c>
      <c r="C299" s="16" t="str">
        <f>"V2433975075001"</f>
        <v>V2433975075001</v>
      </c>
      <c r="D299" s="16" t="s">
        <v>2685</v>
      </c>
      <c r="E299" s="16" t="s">
        <v>2634</v>
      </c>
      <c r="F299" s="19" t="s">
        <v>2635</v>
      </c>
      <c r="G299" s="16" t="s">
        <v>2636</v>
      </c>
      <c r="H299" s="16" t="s">
        <v>13</v>
      </c>
      <c r="I299" s="16">
        <v>2013</v>
      </c>
      <c r="J299" s="16" t="s">
        <v>2686</v>
      </c>
      <c r="K299" s="16" t="s">
        <v>2687</v>
      </c>
      <c r="L299" s="16" t="s">
        <v>15</v>
      </c>
      <c r="M299" s="16" t="s">
        <v>2688</v>
      </c>
      <c r="N299" s="16"/>
      <c r="O299" s="16"/>
    </row>
    <row r="300" spans="1:15" x14ac:dyDescent="0.3">
      <c r="A300" s="16">
        <v>299</v>
      </c>
      <c r="B300" s="16" t="s">
        <v>1641</v>
      </c>
      <c r="C300" s="16" t="str">
        <f>"V2537194253001"</f>
        <v>V2537194253001</v>
      </c>
      <c r="D300" s="16" t="s">
        <v>2689</v>
      </c>
      <c r="E300" s="16" t="s">
        <v>2690</v>
      </c>
      <c r="F300" s="21">
        <v>9780071810821</v>
      </c>
      <c r="G300" s="16" t="s">
        <v>2691</v>
      </c>
      <c r="H300" s="16" t="s">
        <v>13</v>
      </c>
      <c r="I300" s="16">
        <v>2013</v>
      </c>
      <c r="J300" s="16" t="s">
        <v>2692</v>
      </c>
      <c r="K300" s="16" t="s">
        <v>2693</v>
      </c>
      <c r="L300" s="16" t="s">
        <v>15</v>
      </c>
      <c r="M300" s="16" t="s">
        <v>2694</v>
      </c>
      <c r="N300" s="16"/>
      <c r="O300" s="16"/>
    </row>
    <row r="301" spans="1:15" x14ac:dyDescent="0.3">
      <c r="A301" s="16">
        <v>300</v>
      </c>
      <c r="B301" s="16" t="s">
        <v>1641</v>
      </c>
      <c r="C301" s="16" t="str">
        <f>"V2537194254001"</f>
        <v>V2537194254001</v>
      </c>
      <c r="D301" s="16" t="s">
        <v>2695</v>
      </c>
      <c r="E301" s="16" t="s">
        <v>2690</v>
      </c>
      <c r="F301" s="21">
        <v>9780071810821</v>
      </c>
      <c r="G301" s="16" t="s">
        <v>2691</v>
      </c>
      <c r="H301" s="16" t="s">
        <v>13</v>
      </c>
      <c r="I301" s="16">
        <v>2013</v>
      </c>
      <c r="J301" s="16" t="s">
        <v>2696</v>
      </c>
      <c r="K301" s="16" t="s">
        <v>116</v>
      </c>
      <c r="L301" s="16" t="s">
        <v>15</v>
      </c>
      <c r="M301" s="16" t="s">
        <v>2697</v>
      </c>
      <c r="N301" s="16"/>
      <c r="O301" s="16"/>
    </row>
    <row r="302" spans="1:15" x14ac:dyDescent="0.3">
      <c r="A302" s="16">
        <v>301</v>
      </c>
      <c r="B302" s="16" t="s">
        <v>1641</v>
      </c>
      <c r="C302" s="16" t="str">
        <f>"V2537194255001"</f>
        <v>V2537194255001</v>
      </c>
      <c r="D302" s="16" t="s">
        <v>2698</v>
      </c>
      <c r="E302" s="16" t="s">
        <v>2690</v>
      </c>
      <c r="F302" s="21">
        <v>9780071810821</v>
      </c>
      <c r="G302" s="16" t="s">
        <v>2691</v>
      </c>
      <c r="H302" s="16" t="s">
        <v>13</v>
      </c>
      <c r="I302" s="16">
        <v>2013</v>
      </c>
      <c r="J302" s="16" t="s">
        <v>2699</v>
      </c>
      <c r="K302" s="16" t="s">
        <v>95</v>
      </c>
      <c r="L302" s="16" t="s">
        <v>15</v>
      </c>
      <c r="M302" s="16" t="s">
        <v>2700</v>
      </c>
      <c r="N302" s="16"/>
      <c r="O302" s="16"/>
    </row>
    <row r="303" spans="1:15" x14ac:dyDescent="0.3">
      <c r="A303" s="16">
        <v>302</v>
      </c>
      <c r="B303" s="16" t="s">
        <v>1641</v>
      </c>
      <c r="C303" s="16" t="str">
        <f>"V2537194256001"</f>
        <v>V2537194256001</v>
      </c>
      <c r="D303" s="16" t="s">
        <v>2701</v>
      </c>
      <c r="E303" s="16" t="s">
        <v>2690</v>
      </c>
      <c r="F303" s="21">
        <v>9780071810821</v>
      </c>
      <c r="G303" s="16" t="s">
        <v>2691</v>
      </c>
      <c r="H303" s="16" t="s">
        <v>13</v>
      </c>
      <c r="I303" s="16">
        <v>2013</v>
      </c>
      <c r="J303" s="16" t="s">
        <v>2702</v>
      </c>
      <c r="K303" s="16" t="s">
        <v>2703</v>
      </c>
      <c r="L303" s="16" t="s">
        <v>15</v>
      </c>
      <c r="M303" s="16" t="s">
        <v>2704</v>
      </c>
      <c r="N303" s="16"/>
      <c r="O303" s="16"/>
    </row>
    <row r="304" spans="1:15" x14ac:dyDescent="0.3">
      <c r="A304" s="16">
        <v>303</v>
      </c>
      <c r="B304" s="16" t="s">
        <v>1641</v>
      </c>
      <c r="C304" s="16" t="str">
        <f>"V2537194257001"</f>
        <v>V2537194257001</v>
      </c>
      <c r="D304" s="16" t="s">
        <v>2705</v>
      </c>
      <c r="E304" s="16" t="s">
        <v>2690</v>
      </c>
      <c r="F304" s="21">
        <v>9780071810821</v>
      </c>
      <c r="G304" s="16" t="s">
        <v>2691</v>
      </c>
      <c r="H304" s="16" t="s">
        <v>13</v>
      </c>
      <c r="I304" s="16">
        <v>2013</v>
      </c>
      <c r="J304" s="16" t="s">
        <v>2706</v>
      </c>
      <c r="K304" s="16" t="s">
        <v>2707</v>
      </c>
      <c r="L304" s="16" t="s">
        <v>15</v>
      </c>
      <c r="M304" s="16" t="s">
        <v>2708</v>
      </c>
      <c r="N304" s="16"/>
      <c r="O304" s="16"/>
    </row>
    <row r="305" spans="1:15" x14ac:dyDescent="0.3">
      <c r="A305" s="16">
        <v>304</v>
      </c>
      <c r="B305" s="16" t="s">
        <v>1641</v>
      </c>
      <c r="C305" s="16" t="str">
        <f>"V2537194258001"</f>
        <v>V2537194258001</v>
      </c>
      <c r="D305" s="16" t="s">
        <v>2709</v>
      </c>
      <c r="E305" s="16" t="s">
        <v>2690</v>
      </c>
      <c r="F305" s="21">
        <v>9780071810821</v>
      </c>
      <c r="G305" s="16" t="s">
        <v>2691</v>
      </c>
      <c r="H305" s="16" t="s">
        <v>13</v>
      </c>
      <c r="I305" s="16">
        <v>2013</v>
      </c>
      <c r="J305" s="16" t="s">
        <v>2710</v>
      </c>
      <c r="K305" s="16" t="s">
        <v>2711</v>
      </c>
      <c r="L305" s="16" t="s">
        <v>15</v>
      </c>
      <c r="M305" s="16" t="s">
        <v>2712</v>
      </c>
      <c r="N305" s="16"/>
      <c r="O305" s="16"/>
    </row>
    <row r="306" spans="1:15" x14ac:dyDescent="0.3">
      <c r="A306" s="16">
        <v>305</v>
      </c>
      <c r="B306" s="16" t="s">
        <v>1641</v>
      </c>
      <c r="C306" s="16" t="str">
        <f>"V2537194259001"</f>
        <v>V2537194259001</v>
      </c>
      <c r="D306" s="16" t="s">
        <v>2713</v>
      </c>
      <c r="E306" s="16" t="s">
        <v>2690</v>
      </c>
      <c r="F306" s="21">
        <v>9780071810821</v>
      </c>
      <c r="G306" s="16" t="s">
        <v>2691</v>
      </c>
      <c r="H306" s="16" t="s">
        <v>13</v>
      </c>
      <c r="I306" s="16">
        <v>2013</v>
      </c>
      <c r="J306" s="16" t="s">
        <v>2714</v>
      </c>
      <c r="K306" s="16" t="s">
        <v>2715</v>
      </c>
      <c r="L306" s="16" t="s">
        <v>15</v>
      </c>
      <c r="M306" s="16" t="s">
        <v>2716</v>
      </c>
      <c r="N306" s="16"/>
      <c r="O306" s="16"/>
    </row>
    <row r="307" spans="1:15" x14ac:dyDescent="0.3">
      <c r="A307" s="16">
        <v>306</v>
      </c>
      <c r="B307" s="16" t="s">
        <v>1641</v>
      </c>
      <c r="C307" s="16" t="str">
        <f>"V2537194260001"</f>
        <v>V2537194260001</v>
      </c>
      <c r="D307" s="16" t="s">
        <v>2717</v>
      </c>
      <c r="E307" s="16" t="s">
        <v>2690</v>
      </c>
      <c r="F307" s="21">
        <v>9780071810821</v>
      </c>
      <c r="G307" s="16" t="s">
        <v>2691</v>
      </c>
      <c r="H307" s="16" t="s">
        <v>13</v>
      </c>
      <c r="I307" s="16">
        <v>2013</v>
      </c>
      <c r="J307" s="16" t="s">
        <v>2718</v>
      </c>
      <c r="K307" s="16" t="s">
        <v>2719</v>
      </c>
      <c r="L307" s="16" t="s">
        <v>15</v>
      </c>
      <c r="M307" s="16" t="s">
        <v>2720</v>
      </c>
      <c r="N307" s="16"/>
      <c r="O307" s="16"/>
    </row>
    <row r="308" spans="1:15" x14ac:dyDescent="0.3">
      <c r="A308" s="16">
        <v>307</v>
      </c>
      <c r="B308" s="16" t="s">
        <v>1641</v>
      </c>
      <c r="C308" s="16" t="str">
        <f>"V2537194261001"</f>
        <v>V2537194261001</v>
      </c>
      <c r="D308" s="16" t="s">
        <v>2721</v>
      </c>
      <c r="E308" s="16" t="s">
        <v>2690</v>
      </c>
      <c r="F308" s="21">
        <v>9780071810821</v>
      </c>
      <c r="G308" s="16" t="s">
        <v>2691</v>
      </c>
      <c r="H308" s="16" t="s">
        <v>13</v>
      </c>
      <c r="I308" s="16">
        <v>2013</v>
      </c>
      <c r="J308" s="16" t="s">
        <v>2722</v>
      </c>
      <c r="K308" s="16" t="s">
        <v>2723</v>
      </c>
      <c r="L308" s="16" t="s">
        <v>15</v>
      </c>
      <c r="M308" s="16" t="s">
        <v>2724</v>
      </c>
      <c r="N308" s="16"/>
      <c r="O308" s="16"/>
    </row>
    <row r="309" spans="1:15" x14ac:dyDescent="0.3">
      <c r="A309" s="16">
        <v>308</v>
      </c>
      <c r="B309" s="16" t="s">
        <v>1641</v>
      </c>
      <c r="C309" s="16" t="str">
        <f>"V2537194262001"</f>
        <v>V2537194262001</v>
      </c>
      <c r="D309" s="16" t="s">
        <v>2725</v>
      </c>
      <c r="E309" s="16" t="s">
        <v>2690</v>
      </c>
      <c r="F309" s="21">
        <v>9780071810821</v>
      </c>
      <c r="G309" s="16" t="s">
        <v>2691</v>
      </c>
      <c r="H309" s="16" t="s">
        <v>13</v>
      </c>
      <c r="I309" s="16">
        <v>2013</v>
      </c>
      <c r="J309" s="16" t="s">
        <v>2726</v>
      </c>
      <c r="K309" s="16" t="s">
        <v>2727</v>
      </c>
      <c r="L309" s="16" t="s">
        <v>15</v>
      </c>
      <c r="M309" s="16" t="s">
        <v>2728</v>
      </c>
      <c r="N309" s="16"/>
      <c r="O309" s="16"/>
    </row>
    <row r="310" spans="1:15" x14ac:dyDescent="0.3">
      <c r="A310" s="16">
        <v>309</v>
      </c>
      <c r="B310" s="16" t="s">
        <v>1641</v>
      </c>
      <c r="C310" s="16" t="str">
        <f>"V2537194263001"</f>
        <v>V2537194263001</v>
      </c>
      <c r="D310" s="16" t="s">
        <v>2729</v>
      </c>
      <c r="E310" s="16" t="s">
        <v>2690</v>
      </c>
      <c r="F310" s="21">
        <v>9780071810821</v>
      </c>
      <c r="G310" s="16" t="s">
        <v>2691</v>
      </c>
      <c r="H310" s="16" t="s">
        <v>13</v>
      </c>
      <c r="I310" s="16">
        <v>2013</v>
      </c>
      <c r="J310" s="16" t="s">
        <v>2730</v>
      </c>
      <c r="K310" s="16" t="s">
        <v>2731</v>
      </c>
      <c r="L310" s="16" t="s">
        <v>15</v>
      </c>
      <c r="M310" s="16" t="s">
        <v>2732</v>
      </c>
      <c r="N310" s="16"/>
      <c r="O310" s="16"/>
    </row>
    <row r="311" spans="1:15" x14ac:dyDescent="0.3">
      <c r="A311" s="16">
        <v>310</v>
      </c>
      <c r="B311" s="16" t="s">
        <v>1641</v>
      </c>
      <c r="C311" s="16" t="str">
        <f>"V2537194264001"</f>
        <v>V2537194264001</v>
      </c>
      <c r="D311" s="16" t="s">
        <v>2733</v>
      </c>
      <c r="E311" s="16" t="s">
        <v>2690</v>
      </c>
      <c r="F311" s="21">
        <v>9780071810821</v>
      </c>
      <c r="G311" s="16" t="s">
        <v>2691</v>
      </c>
      <c r="H311" s="16" t="s">
        <v>13</v>
      </c>
      <c r="I311" s="16">
        <v>2013</v>
      </c>
      <c r="J311" s="16" t="s">
        <v>2734</v>
      </c>
      <c r="K311" s="16" t="s">
        <v>2735</v>
      </c>
      <c r="L311" s="16" t="s">
        <v>15</v>
      </c>
      <c r="M311" s="16" t="s">
        <v>2736</v>
      </c>
      <c r="N311" s="16"/>
      <c r="O311" s="16"/>
    </row>
    <row r="312" spans="1:15" x14ac:dyDescent="0.3">
      <c r="A312" s="16">
        <v>311</v>
      </c>
      <c r="B312" s="16" t="s">
        <v>1641</v>
      </c>
      <c r="C312" s="16" t="str">
        <f>"V2537194265001"</f>
        <v>V2537194265001</v>
      </c>
      <c r="D312" s="16" t="s">
        <v>2737</v>
      </c>
      <c r="E312" s="16" t="s">
        <v>2690</v>
      </c>
      <c r="F312" s="21">
        <v>9780071810821</v>
      </c>
      <c r="G312" s="16" t="s">
        <v>2691</v>
      </c>
      <c r="H312" s="16" t="s">
        <v>13</v>
      </c>
      <c r="I312" s="16">
        <v>2013</v>
      </c>
      <c r="J312" s="16" t="s">
        <v>2738</v>
      </c>
      <c r="K312" s="16" t="s">
        <v>2739</v>
      </c>
      <c r="L312" s="16" t="s">
        <v>15</v>
      </c>
      <c r="M312" s="16" t="s">
        <v>2740</v>
      </c>
      <c r="N312" s="16"/>
      <c r="O312" s="16"/>
    </row>
    <row r="313" spans="1:15" x14ac:dyDescent="0.3">
      <c r="A313" s="16">
        <v>312</v>
      </c>
      <c r="B313" s="16" t="s">
        <v>1641</v>
      </c>
      <c r="C313" s="16" t="str">
        <f>"V2537194266001"</f>
        <v>V2537194266001</v>
      </c>
      <c r="D313" s="16" t="s">
        <v>2741</v>
      </c>
      <c r="E313" s="16" t="s">
        <v>2690</v>
      </c>
      <c r="F313" s="21">
        <v>9780071810821</v>
      </c>
      <c r="G313" s="16" t="s">
        <v>2691</v>
      </c>
      <c r="H313" s="16" t="s">
        <v>13</v>
      </c>
      <c r="I313" s="16">
        <v>2013</v>
      </c>
      <c r="J313" s="16" t="s">
        <v>2742</v>
      </c>
      <c r="K313" s="16" t="s">
        <v>116</v>
      </c>
      <c r="L313" s="16" t="s">
        <v>15</v>
      </c>
      <c r="M313" s="16" t="s">
        <v>2743</v>
      </c>
      <c r="N313" s="16"/>
      <c r="O313" s="16"/>
    </row>
    <row r="314" spans="1:15" x14ac:dyDescent="0.3">
      <c r="A314" s="16">
        <v>313</v>
      </c>
      <c r="B314" s="16" t="s">
        <v>1641</v>
      </c>
      <c r="C314" s="16" t="str">
        <f>"V2537194267001"</f>
        <v>V2537194267001</v>
      </c>
      <c r="D314" s="16" t="s">
        <v>2744</v>
      </c>
      <c r="E314" s="16" t="s">
        <v>2690</v>
      </c>
      <c r="F314" s="21">
        <v>9780071810821</v>
      </c>
      <c r="G314" s="16" t="s">
        <v>2691</v>
      </c>
      <c r="H314" s="16" t="s">
        <v>13</v>
      </c>
      <c r="I314" s="16">
        <v>2013</v>
      </c>
      <c r="J314" s="16" t="s">
        <v>2745</v>
      </c>
      <c r="K314" s="16" t="s">
        <v>2746</v>
      </c>
      <c r="L314" s="16" t="s">
        <v>15</v>
      </c>
      <c r="M314" s="16" t="s">
        <v>2747</v>
      </c>
      <c r="N314" s="16"/>
      <c r="O314" s="16"/>
    </row>
    <row r="315" spans="1:15" x14ac:dyDescent="0.3">
      <c r="A315" s="16">
        <v>314</v>
      </c>
      <c r="B315" s="16" t="s">
        <v>1641</v>
      </c>
      <c r="C315" s="16" t="str">
        <f>"V2537194268001"</f>
        <v>V2537194268001</v>
      </c>
      <c r="D315" s="16" t="s">
        <v>2748</v>
      </c>
      <c r="E315" s="16" t="s">
        <v>2690</v>
      </c>
      <c r="F315" s="21">
        <v>9780071810821</v>
      </c>
      <c r="G315" s="16" t="s">
        <v>2691</v>
      </c>
      <c r="H315" s="16" t="s">
        <v>13</v>
      </c>
      <c r="I315" s="16">
        <v>2013</v>
      </c>
      <c r="J315" s="16" t="s">
        <v>2749</v>
      </c>
      <c r="K315" s="16" t="s">
        <v>2750</v>
      </c>
      <c r="L315" s="16" t="s">
        <v>15</v>
      </c>
      <c r="M315" s="16" t="s">
        <v>2751</v>
      </c>
      <c r="N315" s="16"/>
      <c r="O315" s="16"/>
    </row>
    <row r="316" spans="1:15" x14ac:dyDescent="0.3">
      <c r="A316" s="16">
        <v>315</v>
      </c>
      <c r="B316" s="16" t="s">
        <v>1641</v>
      </c>
      <c r="C316" s="16" t="str">
        <f>"V2537194269001"</f>
        <v>V2537194269001</v>
      </c>
      <c r="D316" s="16" t="s">
        <v>2752</v>
      </c>
      <c r="E316" s="16" t="s">
        <v>2690</v>
      </c>
      <c r="F316" s="21">
        <v>9780071810821</v>
      </c>
      <c r="G316" s="16" t="s">
        <v>2691</v>
      </c>
      <c r="H316" s="16" t="s">
        <v>13</v>
      </c>
      <c r="I316" s="16">
        <v>2013</v>
      </c>
      <c r="J316" s="16" t="s">
        <v>2753</v>
      </c>
      <c r="K316" s="16" t="s">
        <v>2754</v>
      </c>
      <c r="L316" s="16" t="s">
        <v>15</v>
      </c>
      <c r="M316" s="16" t="s">
        <v>2755</v>
      </c>
      <c r="N316" s="16"/>
      <c r="O316" s="16"/>
    </row>
    <row r="317" spans="1:15" x14ac:dyDescent="0.3">
      <c r="A317" s="16">
        <v>316</v>
      </c>
      <c r="B317" s="16" t="s">
        <v>1641</v>
      </c>
      <c r="C317" s="16" t="str">
        <f>"V2537194270001"</f>
        <v>V2537194270001</v>
      </c>
      <c r="D317" s="16" t="s">
        <v>2756</v>
      </c>
      <c r="E317" s="16" t="s">
        <v>2690</v>
      </c>
      <c r="F317" s="21">
        <v>9780071810821</v>
      </c>
      <c r="G317" s="16" t="s">
        <v>2691</v>
      </c>
      <c r="H317" s="16" t="s">
        <v>13</v>
      </c>
      <c r="I317" s="16">
        <v>2013</v>
      </c>
      <c r="J317" s="16" t="s">
        <v>2757</v>
      </c>
      <c r="K317" s="16" t="s">
        <v>2707</v>
      </c>
      <c r="L317" s="16" t="s">
        <v>15</v>
      </c>
      <c r="M317" s="16" t="s">
        <v>2758</v>
      </c>
      <c r="N317" s="16"/>
      <c r="O317" s="16"/>
    </row>
    <row r="318" spans="1:15" x14ac:dyDescent="0.3">
      <c r="A318" s="16">
        <v>317</v>
      </c>
      <c r="B318" s="16" t="s">
        <v>1641</v>
      </c>
      <c r="C318" s="16" t="str">
        <f>"V2537194271001"</f>
        <v>V2537194271001</v>
      </c>
      <c r="D318" s="16" t="s">
        <v>2759</v>
      </c>
      <c r="E318" s="16" t="s">
        <v>2690</v>
      </c>
      <c r="F318" s="21">
        <v>9780071810821</v>
      </c>
      <c r="G318" s="16" t="s">
        <v>2691</v>
      </c>
      <c r="H318" s="16" t="s">
        <v>13</v>
      </c>
      <c r="I318" s="16">
        <v>2013</v>
      </c>
      <c r="J318" s="16" t="s">
        <v>2760</v>
      </c>
      <c r="K318" s="16" t="s">
        <v>2761</v>
      </c>
      <c r="L318" s="16" t="s">
        <v>15</v>
      </c>
      <c r="M318" s="16" t="s">
        <v>2762</v>
      </c>
      <c r="N318" s="16"/>
      <c r="O318" s="16"/>
    </row>
    <row r="319" spans="1:15" x14ac:dyDescent="0.3">
      <c r="A319" s="16">
        <v>318</v>
      </c>
      <c r="B319" s="16" t="s">
        <v>1641</v>
      </c>
      <c r="C319" s="16" t="str">
        <f>"V2537194272001"</f>
        <v>V2537194272001</v>
      </c>
      <c r="D319" s="16" t="s">
        <v>2763</v>
      </c>
      <c r="E319" s="16" t="s">
        <v>2690</v>
      </c>
      <c r="F319" s="21">
        <v>9780071810821</v>
      </c>
      <c r="G319" s="16" t="s">
        <v>2691</v>
      </c>
      <c r="H319" s="16" t="s">
        <v>13</v>
      </c>
      <c r="I319" s="16">
        <v>2013</v>
      </c>
      <c r="J319" s="16" t="s">
        <v>2764</v>
      </c>
      <c r="K319" s="16" t="s">
        <v>95</v>
      </c>
      <c r="L319" s="16" t="s">
        <v>15</v>
      </c>
      <c r="M319" s="16" t="s">
        <v>2765</v>
      </c>
      <c r="N319" s="16"/>
      <c r="O319" s="16"/>
    </row>
    <row r="320" spans="1:15" x14ac:dyDescent="0.3">
      <c r="A320" s="16">
        <v>319</v>
      </c>
      <c r="B320" s="16" t="s">
        <v>1641</v>
      </c>
      <c r="C320" s="16" t="str">
        <f>"V2537194273001"</f>
        <v>V2537194273001</v>
      </c>
      <c r="D320" s="16" t="s">
        <v>2766</v>
      </c>
      <c r="E320" s="16" t="s">
        <v>2690</v>
      </c>
      <c r="F320" s="21">
        <v>9780071810821</v>
      </c>
      <c r="G320" s="16" t="s">
        <v>2691</v>
      </c>
      <c r="H320" s="16" t="s">
        <v>13</v>
      </c>
      <c r="I320" s="16">
        <v>2013</v>
      </c>
      <c r="J320" s="16" t="s">
        <v>2767</v>
      </c>
      <c r="K320" s="16" t="s">
        <v>2768</v>
      </c>
      <c r="L320" s="16" t="s">
        <v>15</v>
      </c>
      <c r="M320" s="16" t="s">
        <v>2769</v>
      </c>
      <c r="N320" s="16"/>
      <c r="O320" s="16"/>
    </row>
    <row r="321" spans="1:15" x14ac:dyDescent="0.3">
      <c r="A321" s="16">
        <v>320</v>
      </c>
      <c r="B321" s="16" t="s">
        <v>1641</v>
      </c>
      <c r="C321" s="16" t="str">
        <f>"V2537194274001"</f>
        <v>V2537194274001</v>
      </c>
      <c r="D321" s="16" t="s">
        <v>2770</v>
      </c>
      <c r="E321" s="16" t="s">
        <v>2690</v>
      </c>
      <c r="F321" s="21">
        <v>9780071810821</v>
      </c>
      <c r="G321" s="16" t="s">
        <v>2691</v>
      </c>
      <c r="H321" s="16" t="s">
        <v>13</v>
      </c>
      <c r="I321" s="16">
        <v>2013</v>
      </c>
      <c r="J321" s="16" t="s">
        <v>2771</v>
      </c>
      <c r="K321" s="16" t="s">
        <v>2772</v>
      </c>
      <c r="L321" s="16" t="s">
        <v>15</v>
      </c>
      <c r="M321" s="16" t="s">
        <v>2773</v>
      </c>
      <c r="N321" s="16"/>
      <c r="O321" s="16"/>
    </row>
    <row r="322" spans="1:15" x14ac:dyDescent="0.3">
      <c r="A322" s="16">
        <v>321</v>
      </c>
      <c r="B322" s="16" t="s">
        <v>1641</v>
      </c>
      <c r="C322" s="16" t="str">
        <f>"V2537194275001"</f>
        <v>V2537194275001</v>
      </c>
      <c r="D322" s="16" t="s">
        <v>2774</v>
      </c>
      <c r="E322" s="16" t="s">
        <v>2690</v>
      </c>
      <c r="F322" s="21">
        <v>9780071810821</v>
      </c>
      <c r="G322" s="16" t="s">
        <v>2691</v>
      </c>
      <c r="H322" s="16" t="s">
        <v>13</v>
      </c>
      <c r="I322" s="16">
        <v>2013</v>
      </c>
      <c r="J322" s="16" t="s">
        <v>2775</v>
      </c>
      <c r="K322" s="16" t="s">
        <v>2776</v>
      </c>
      <c r="L322" s="16" t="s">
        <v>15</v>
      </c>
      <c r="M322" s="16" t="s">
        <v>2777</v>
      </c>
      <c r="N322" s="16"/>
      <c r="O322" s="16"/>
    </row>
    <row r="323" spans="1:15" x14ac:dyDescent="0.3">
      <c r="A323" s="16">
        <v>322</v>
      </c>
      <c r="B323" s="16" t="s">
        <v>1641</v>
      </c>
      <c r="C323" s="16" t="str">
        <f>"V2538364112001"</f>
        <v>V2538364112001</v>
      </c>
      <c r="D323" s="16" t="s">
        <v>2778</v>
      </c>
      <c r="E323" s="16" t="s">
        <v>2779</v>
      </c>
      <c r="F323" s="21">
        <v>9780071811118</v>
      </c>
      <c r="G323" s="16" t="s">
        <v>2691</v>
      </c>
      <c r="H323" s="16" t="s">
        <v>13</v>
      </c>
      <c r="I323" s="16">
        <v>2013</v>
      </c>
      <c r="J323" s="16" t="s">
        <v>2780</v>
      </c>
      <c r="K323" s="16" t="s">
        <v>2781</v>
      </c>
      <c r="L323" s="16" t="s">
        <v>15</v>
      </c>
      <c r="M323" s="16" t="s">
        <v>2782</v>
      </c>
      <c r="N323" s="16"/>
      <c r="O323" s="16"/>
    </row>
    <row r="324" spans="1:15" x14ac:dyDescent="0.3">
      <c r="A324" s="16">
        <v>323</v>
      </c>
      <c r="B324" s="16" t="s">
        <v>1641</v>
      </c>
      <c r="C324" s="16" t="str">
        <f>"V2538364113001"</f>
        <v>V2538364113001</v>
      </c>
      <c r="D324" s="16" t="s">
        <v>2783</v>
      </c>
      <c r="E324" s="16" t="s">
        <v>2779</v>
      </c>
      <c r="F324" s="21">
        <v>9780071811118</v>
      </c>
      <c r="G324" s="16" t="s">
        <v>2691</v>
      </c>
      <c r="H324" s="16" t="s">
        <v>13</v>
      </c>
      <c r="I324" s="16">
        <v>2013</v>
      </c>
      <c r="J324" s="16" t="s">
        <v>2784</v>
      </c>
      <c r="K324" s="16" t="s">
        <v>2785</v>
      </c>
      <c r="L324" s="16" t="s">
        <v>15</v>
      </c>
      <c r="M324" s="16" t="s">
        <v>2786</v>
      </c>
      <c r="N324" s="16"/>
      <c r="O324" s="16"/>
    </row>
    <row r="325" spans="1:15" x14ac:dyDescent="0.3">
      <c r="A325" s="16">
        <v>324</v>
      </c>
      <c r="B325" s="16" t="s">
        <v>1641</v>
      </c>
      <c r="C325" s="16" t="str">
        <f>"V2538364114001"</f>
        <v>V2538364114001</v>
      </c>
      <c r="D325" s="16" t="s">
        <v>2698</v>
      </c>
      <c r="E325" s="16" t="s">
        <v>2779</v>
      </c>
      <c r="F325" s="21">
        <v>9780071811118</v>
      </c>
      <c r="G325" s="16" t="s">
        <v>2691</v>
      </c>
      <c r="H325" s="16" t="s">
        <v>13</v>
      </c>
      <c r="I325" s="16">
        <v>2013</v>
      </c>
      <c r="J325" s="16" t="s">
        <v>2787</v>
      </c>
      <c r="K325" s="16" t="s">
        <v>2788</v>
      </c>
      <c r="L325" s="16" t="s">
        <v>15</v>
      </c>
      <c r="M325" s="16" t="s">
        <v>2789</v>
      </c>
      <c r="N325" s="16"/>
      <c r="O325" s="16"/>
    </row>
    <row r="326" spans="1:15" x14ac:dyDescent="0.3">
      <c r="A326" s="16">
        <v>325</v>
      </c>
      <c r="B326" s="16" t="s">
        <v>1641</v>
      </c>
      <c r="C326" s="16" t="str">
        <f>"V2538364115001"</f>
        <v>V2538364115001</v>
      </c>
      <c r="D326" s="16" t="s">
        <v>2790</v>
      </c>
      <c r="E326" s="16" t="s">
        <v>2779</v>
      </c>
      <c r="F326" s="21">
        <v>9780071811118</v>
      </c>
      <c r="G326" s="16" t="s">
        <v>2691</v>
      </c>
      <c r="H326" s="16" t="s">
        <v>13</v>
      </c>
      <c r="I326" s="16">
        <v>2013</v>
      </c>
      <c r="J326" s="16" t="s">
        <v>2791</v>
      </c>
      <c r="K326" s="16" t="s">
        <v>2792</v>
      </c>
      <c r="L326" s="16" t="s">
        <v>15</v>
      </c>
      <c r="M326" s="16" t="s">
        <v>2793</v>
      </c>
      <c r="N326" s="16"/>
      <c r="O326" s="16"/>
    </row>
    <row r="327" spans="1:15" x14ac:dyDescent="0.3">
      <c r="A327" s="16">
        <v>326</v>
      </c>
      <c r="B327" s="16" t="s">
        <v>1641</v>
      </c>
      <c r="C327" s="16" t="str">
        <f>"V2538364116001"</f>
        <v>V2538364116001</v>
      </c>
      <c r="D327" s="16" t="s">
        <v>2794</v>
      </c>
      <c r="E327" s="16" t="s">
        <v>2779</v>
      </c>
      <c r="F327" s="21">
        <v>9780071811118</v>
      </c>
      <c r="G327" s="16" t="s">
        <v>2691</v>
      </c>
      <c r="H327" s="16" t="s">
        <v>13</v>
      </c>
      <c r="I327" s="16">
        <v>2013</v>
      </c>
      <c r="J327" s="16" t="s">
        <v>2795</v>
      </c>
      <c r="K327" s="16" t="s">
        <v>2796</v>
      </c>
      <c r="L327" s="16" t="s">
        <v>15</v>
      </c>
      <c r="M327" s="16" t="s">
        <v>2797</v>
      </c>
      <c r="N327" s="16"/>
      <c r="O327" s="16"/>
    </row>
    <row r="328" spans="1:15" x14ac:dyDescent="0.3">
      <c r="A328" s="16">
        <v>327</v>
      </c>
      <c r="B328" s="16" t="s">
        <v>1641</v>
      </c>
      <c r="C328" s="16" t="str">
        <f>"V2538364117001"</f>
        <v>V2538364117001</v>
      </c>
      <c r="D328" s="16" t="s">
        <v>2798</v>
      </c>
      <c r="E328" s="16" t="s">
        <v>2779</v>
      </c>
      <c r="F328" s="21">
        <v>9780071811118</v>
      </c>
      <c r="G328" s="16" t="s">
        <v>2691</v>
      </c>
      <c r="H328" s="16" t="s">
        <v>13</v>
      </c>
      <c r="I328" s="16">
        <v>2013</v>
      </c>
      <c r="J328" s="16" t="s">
        <v>2799</v>
      </c>
      <c r="K328" s="16" t="s">
        <v>2800</v>
      </c>
      <c r="L328" s="16" t="s">
        <v>15</v>
      </c>
      <c r="M328" s="16" t="s">
        <v>2801</v>
      </c>
      <c r="N328" s="16"/>
      <c r="O328" s="16"/>
    </row>
    <row r="329" spans="1:15" x14ac:dyDescent="0.3">
      <c r="A329" s="16">
        <v>328</v>
      </c>
      <c r="B329" s="16" t="s">
        <v>1641</v>
      </c>
      <c r="C329" s="16" t="str">
        <f>"V2538386742001"</f>
        <v>V2538386742001</v>
      </c>
      <c r="D329" s="16" t="s">
        <v>2802</v>
      </c>
      <c r="E329" s="16" t="s">
        <v>2779</v>
      </c>
      <c r="F329" s="21">
        <v>9780071811118</v>
      </c>
      <c r="G329" s="16" t="s">
        <v>2691</v>
      </c>
      <c r="H329" s="16" t="s">
        <v>13</v>
      </c>
      <c r="I329" s="16">
        <v>2013</v>
      </c>
      <c r="J329" s="16" t="s">
        <v>2803</v>
      </c>
      <c r="K329" s="16" t="s">
        <v>2804</v>
      </c>
      <c r="L329" s="16" t="s">
        <v>15</v>
      </c>
      <c r="M329" s="16" t="s">
        <v>2805</v>
      </c>
      <c r="N329" s="16"/>
      <c r="O329" s="16"/>
    </row>
    <row r="330" spans="1:15" x14ac:dyDescent="0.3">
      <c r="A330" s="16">
        <v>329</v>
      </c>
      <c r="B330" s="16" t="s">
        <v>1641</v>
      </c>
      <c r="C330" s="16" t="str">
        <f>"V2538386743001"</f>
        <v>V2538386743001</v>
      </c>
      <c r="D330" s="16" t="s">
        <v>2806</v>
      </c>
      <c r="E330" s="16" t="s">
        <v>2779</v>
      </c>
      <c r="F330" s="21">
        <v>9780071811118</v>
      </c>
      <c r="G330" s="16" t="s">
        <v>2691</v>
      </c>
      <c r="H330" s="16" t="s">
        <v>13</v>
      </c>
      <c r="I330" s="16">
        <v>2013</v>
      </c>
      <c r="J330" s="16" t="s">
        <v>2807</v>
      </c>
      <c r="K330" s="16" t="s">
        <v>2808</v>
      </c>
      <c r="L330" s="16" t="s">
        <v>15</v>
      </c>
      <c r="M330" s="16" t="s">
        <v>2809</v>
      </c>
      <c r="N330" s="16"/>
      <c r="O330" s="16"/>
    </row>
    <row r="331" spans="1:15" x14ac:dyDescent="0.3">
      <c r="A331" s="16">
        <v>330</v>
      </c>
      <c r="B331" s="16" t="s">
        <v>1641</v>
      </c>
      <c r="C331" s="16" t="str">
        <f>"V2538386744001"</f>
        <v>V2538386744001</v>
      </c>
      <c r="D331" s="16" t="s">
        <v>2810</v>
      </c>
      <c r="E331" s="16" t="s">
        <v>2779</v>
      </c>
      <c r="F331" s="21">
        <v>9780071811118</v>
      </c>
      <c r="G331" s="16" t="s">
        <v>2691</v>
      </c>
      <c r="H331" s="16" t="s">
        <v>13</v>
      </c>
      <c r="I331" s="16">
        <v>2013</v>
      </c>
      <c r="J331" s="16" t="s">
        <v>2811</v>
      </c>
      <c r="K331" s="16" t="s">
        <v>116</v>
      </c>
      <c r="L331" s="16" t="s">
        <v>15</v>
      </c>
      <c r="M331" s="16" t="s">
        <v>2812</v>
      </c>
      <c r="N331" s="16"/>
      <c r="O331" s="16"/>
    </row>
    <row r="332" spans="1:15" x14ac:dyDescent="0.3">
      <c r="A332" s="16">
        <v>331</v>
      </c>
      <c r="B332" s="16" t="s">
        <v>1641</v>
      </c>
      <c r="C332" s="16" t="str">
        <f>"V2538386745001"</f>
        <v>V2538386745001</v>
      </c>
      <c r="D332" s="16" t="s">
        <v>2813</v>
      </c>
      <c r="E332" s="16" t="s">
        <v>2779</v>
      </c>
      <c r="F332" s="21">
        <v>9780071811118</v>
      </c>
      <c r="G332" s="16" t="s">
        <v>2691</v>
      </c>
      <c r="H332" s="16" t="s">
        <v>13</v>
      </c>
      <c r="I332" s="16">
        <v>2013</v>
      </c>
      <c r="J332" s="16" t="s">
        <v>2814</v>
      </c>
      <c r="K332" s="16" t="s">
        <v>167</v>
      </c>
      <c r="L332" s="16" t="s">
        <v>15</v>
      </c>
      <c r="M332" s="16" t="s">
        <v>2815</v>
      </c>
      <c r="N332" s="16"/>
      <c r="O332" s="16"/>
    </row>
    <row r="333" spans="1:15" x14ac:dyDescent="0.3">
      <c r="A333" s="16">
        <v>332</v>
      </c>
      <c r="B333" s="16" t="s">
        <v>1641</v>
      </c>
      <c r="C333" s="16" t="str">
        <f>"V2538386746001"</f>
        <v>V2538386746001</v>
      </c>
      <c r="D333" s="16" t="s">
        <v>2816</v>
      </c>
      <c r="E333" s="16" t="s">
        <v>2779</v>
      </c>
      <c r="F333" s="21">
        <v>9780071811118</v>
      </c>
      <c r="G333" s="16" t="s">
        <v>2691</v>
      </c>
      <c r="H333" s="16" t="s">
        <v>13</v>
      </c>
      <c r="I333" s="16">
        <v>2013</v>
      </c>
      <c r="J333" s="16" t="s">
        <v>2817</v>
      </c>
      <c r="K333" s="16" t="s">
        <v>2727</v>
      </c>
      <c r="L333" s="16" t="s">
        <v>15</v>
      </c>
      <c r="M333" s="16" t="s">
        <v>2818</v>
      </c>
      <c r="N333" s="16"/>
      <c r="O333" s="16"/>
    </row>
    <row r="334" spans="1:15" x14ac:dyDescent="0.3">
      <c r="A334" s="16">
        <v>333</v>
      </c>
      <c r="B334" s="16" t="s">
        <v>1641</v>
      </c>
      <c r="C334" s="16" t="str">
        <f>"V2538386747001"</f>
        <v>V2538386747001</v>
      </c>
      <c r="D334" s="16" t="s">
        <v>2819</v>
      </c>
      <c r="E334" s="16" t="s">
        <v>2779</v>
      </c>
      <c r="F334" s="21">
        <v>9780071811118</v>
      </c>
      <c r="G334" s="16" t="s">
        <v>2691</v>
      </c>
      <c r="H334" s="16" t="s">
        <v>13</v>
      </c>
      <c r="I334" s="16">
        <v>2013</v>
      </c>
      <c r="J334" s="16" t="s">
        <v>2820</v>
      </c>
      <c r="K334" s="16" t="s">
        <v>2750</v>
      </c>
      <c r="L334" s="16" t="s">
        <v>15</v>
      </c>
      <c r="M334" s="16" t="s">
        <v>2821</v>
      </c>
      <c r="N334" s="16"/>
      <c r="O334" s="16"/>
    </row>
    <row r="335" spans="1:15" x14ac:dyDescent="0.3">
      <c r="A335" s="16">
        <v>334</v>
      </c>
      <c r="B335" s="16" t="s">
        <v>1641</v>
      </c>
      <c r="C335" s="16" t="str">
        <f>"V2538386748001"</f>
        <v>V2538386748001</v>
      </c>
      <c r="D335" s="16" t="s">
        <v>2822</v>
      </c>
      <c r="E335" s="16" t="s">
        <v>2779</v>
      </c>
      <c r="F335" s="21">
        <v>9780071811118</v>
      </c>
      <c r="G335" s="16" t="s">
        <v>2691</v>
      </c>
      <c r="H335" s="16" t="s">
        <v>13</v>
      </c>
      <c r="I335" s="16">
        <v>2013</v>
      </c>
      <c r="J335" s="16" t="s">
        <v>2823</v>
      </c>
      <c r="K335" s="16" t="s">
        <v>2824</v>
      </c>
      <c r="L335" s="16" t="s">
        <v>15</v>
      </c>
      <c r="M335" s="16" t="s">
        <v>2825</v>
      </c>
      <c r="N335" s="16"/>
      <c r="O335" s="16"/>
    </row>
    <row r="336" spans="1:15" x14ac:dyDescent="0.3">
      <c r="A336" s="16">
        <v>335</v>
      </c>
      <c r="B336" s="16" t="s">
        <v>1641</v>
      </c>
      <c r="C336" s="16" t="str">
        <f>"V2538386749001"</f>
        <v>V2538386749001</v>
      </c>
      <c r="D336" s="16" t="s">
        <v>2826</v>
      </c>
      <c r="E336" s="16" t="s">
        <v>2779</v>
      </c>
      <c r="F336" s="21">
        <v>9780071811118</v>
      </c>
      <c r="G336" s="16" t="s">
        <v>2691</v>
      </c>
      <c r="H336" s="16" t="s">
        <v>13</v>
      </c>
      <c r="I336" s="16">
        <v>2013</v>
      </c>
      <c r="J336" s="16" t="s">
        <v>2827</v>
      </c>
      <c r="K336" s="16" t="s">
        <v>2828</v>
      </c>
      <c r="L336" s="16" t="s">
        <v>15</v>
      </c>
      <c r="M336" s="16" t="s">
        <v>2829</v>
      </c>
      <c r="N336" s="16"/>
      <c r="O336" s="16"/>
    </row>
    <row r="337" spans="1:15" x14ac:dyDescent="0.3">
      <c r="A337" s="16">
        <v>336</v>
      </c>
      <c r="B337" s="16" t="s">
        <v>1641</v>
      </c>
      <c r="C337" s="16" t="str">
        <f>"V2538386750001"</f>
        <v>V2538386750001</v>
      </c>
      <c r="D337" s="16" t="s">
        <v>2830</v>
      </c>
      <c r="E337" s="16" t="s">
        <v>2779</v>
      </c>
      <c r="F337" s="21">
        <v>9780071811118</v>
      </c>
      <c r="G337" s="16" t="s">
        <v>2691</v>
      </c>
      <c r="H337" s="16" t="s">
        <v>13</v>
      </c>
      <c r="I337" s="16">
        <v>2013</v>
      </c>
      <c r="J337" s="16" t="s">
        <v>2831</v>
      </c>
      <c r="K337" s="16" t="s">
        <v>2832</v>
      </c>
      <c r="L337" s="16" t="s">
        <v>15</v>
      </c>
      <c r="M337" s="16" t="s">
        <v>2833</v>
      </c>
      <c r="N337" s="16"/>
      <c r="O337" s="16"/>
    </row>
    <row r="338" spans="1:15" x14ac:dyDescent="0.3">
      <c r="A338" s="16">
        <v>337</v>
      </c>
      <c r="B338" s="16" t="s">
        <v>1641</v>
      </c>
      <c r="C338" s="16" t="str">
        <f>"V2538386751001"</f>
        <v>V2538386751001</v>
      </c>
      <c r="D338" s="16" t="s">
        <v>2834</v>
      </c>
      <c r="E338" s="16" t="s">
        <v>2779</v>
      </c>
      <c r="F338" s="21">
        <v>9780071811118</v>
      </c>
      <c r="G338" s="16" t="s">
        <v>2691</v>
      </c>
      <c r="H338" s="16" t="s">
        <v>13</v>
      </c>
      <c r="I338" s="16">
        <v>2013</v>
      </c>
      <c r="J338" s="16" t="s">
        <v>2835</v>
      </c>
      <c r="K338" s="16" t="s">
        <v>2836</v>
      </c>
      <c r="L338" s="16" t="s">
        <v>15</v>
      </c>
      <c r="M338" s="16" t="s">
        <v>2837</v>
      </c>
      <c r="N338" s="16"/>
      <c r="O338" s="16"/>
    </row>
    <row r="339" spans="1:15" x14ac:dyDescent="0.3">
      <c r="A339" s="16">
        <v>338</v>
      </c>
      <c r="B339" s="16" t="s">
        <v>1641</v>
      </c>
      <c r="C339" s="16" t="str">
        <f>"V2538386752001"</f>
        <v>V2538386752001</v>
      </c>
      <c r="D339" s="16" t="s">
        <v>2838</v>
      </c>
      <c r="E339" s="16" t="s">
        <v>2779</v>
      </c>
      <c r="F339" s="21">
        <v>9780071811118</v>
      </c>
      <c r="G339" s="16" t="s">
        <v>2691</v>
      </c>
      <c r="H339" s="16" t="s">
        <v>13</v>
      </c>
      <c r="I339" s="16">
        <v>2013</v>
      </c>
      <c r="J339" s="16" t="s">
        <v>2839</v>
      </c>
      <c r="K339" s="16" t="s">
        <v>116</v>
      </c>
      <c r="L339" s="16" t="s">
        <v>15</v>
      </c>
      <c r="M339" s="16" t="s">
        <v>2840</v>
      </c>
      <c r="N339" s="16"/>
      <c r="O339" s="16"/>
    </row>
    <row r="340" spans="1:15" x14ac:dyDescent="0.3">
      <c r="A340" s="16">
        <v>339</v>
      </c>
      <c r="B340" s="16" t="s">
        <v>1641</v>
      </c>
      <c r="C340" s="16" t="str">
        <f>"V2538386753001"</f>
        <v>V2538386753001</v>
      </c>
      <c r="D340" s="16" t="s">
        <v>2841</v>
      </c>
      <c r="E340" s="16" t="s">
        <v>2779</v>
      </c>
      <c r="F340" s="21">
        <v>9780071811118</v>
      </c>
      <c r="G340" s="16" t="s">
        <v>2691</v>
      </c>
      <c r="H340" s="16" t="s">
        <v>13</v>
      </c>
      <c r="I340" s="16">
        <v>2013</v>
      </c>
      <c r="J340" s="16" t="s">
        <v>2842</v>
      </c>
      <c r="K340" s="16" t="s">
        <v>2785</v>
      </c>
      <c r="L340" s="16" t="s">
        <v>15</v>
      </c>
      <c r="M340" s="16" t="s">
        <v>2843</v>
      </c>
      <c r="N340" s="16"/>
      <c r="O340" s="16"/>
    </row>
    <row r="341" spans="1:15" x14ac:dyDescent="0.3">
      <c r="A341" s="16">
        <v>340</v>
      </c>
      <c r="B341" s="16" t="s">
        <v>1641</v>
      </c>
      <c r="C341" s="16" t="str">
        <f>"V2538386754001"</f>
        <v>V2538386754001</v>
      </c>
      <c r="D341" s="16" t="s">
        <v>2844</v>
      </c>
      <c r="E341" s="16" t="s">
        <v>2779</v>
      </c>
      <c r="F341" s="21">
        <v>9780071811118</v>
      </c>
      <c r="G341" s="16" t="s">
        <v>2691</v>
      </c>
      <c r="H341" s="16" t="s">
        <v>13</v>
      </c>
      <c r="I341" s="16">
        <v>2013</v>
      </c>
      <c r="J341" s="16" t="s">
        <v>2845</v>
      </c>
      <c r="K341" s="16" t="s">
        <v>2846</v>
      </c>
      <c r="L341" s="16" t="s">
        <v>15</v>
      </c>
      <c r="M341" s="16" t="s">
        <v>2847</v>
      </c>
      <c r="N341" s="16"/>
      <c r="O341" s="16"/>
    </row>
    <row r="342" spans="1:15" x14ac:dyDescent="0.3">
      <c r="A342" s="16">
        <v>341</v>
      </c>
      <c r="B342" s="16" t="s">
        <v>1641</v>
      </c>
      <c r="C342" s="16" t="str">
        <f>"V2538386755001"</f>
        <v>V2538386755001</v>
      </c>
      <c r="D342" s="16" t="s">
        <v>2848</v>
      </c>
      <c r="E342" s="16" t="s">
        <v>2779</v>
      </c>
      <c r="F342" s="21">
        <v>9780071811118</v>
      </c>
      <c r="G342" s="16" t="s">
        <v>2691</v>
      </c>
      <c r="H342" s="16" t="s">
        <v>13</v>
      </c>
      <c r="I342" s="16">
        <v>2013</v>
      </c>
      <c r="J342" s="16" t="s">
        <v>2849</v>
      </c>
      <c r="K342" s="16" t="s">
        <v>2727</v>
      </c>
      <c r="L342" s="16" t="s">
        <v>15</v>
      </c>
      <c r="M342" s="16" t="s">
        <v>2850</v>
      </c>
      <c r="N342" s="16"/>
      <c r="O342" s="16"/>
    </row>
    <row r="343" spans="1:15" x14ac:dyDescent="0.3">
      <c r="A343" s="16">
        <v>342</v>
      </c>
      <c r="B343" s="16" t="s">
        <v>1641</v>
      </c>
      <c r="C343" s="16" t="str">
        <f>"V2538386756001"</f>
        <v>V2538386756001</v>
      </c>
      <c r="D343" s="16" t="s">
        <v>2851</v>
      </c>
      <c r="E343" s="16" t="s">
        <v>2779</v>
      </c>
      <c r="F343" s="21">
        <v>9780071811118</v>
      </c>
      <c r="G343" s="16" t="s">
        <v>2691</v>
      </c>
      <c r="H343" s="16" t="s">
        <v>13</v>
      </c>
      <c r="I343" s="16">
        <v>2013</v>
      </c>
      <c r="J343" s="16" t="s">
        <v>2852</v>
      </c>
      <c r="K343" s="16" t="s">
        <v>2853</v>
      </c>
      <c r="L343" s="16" t="s">
        <v>15</v>
      </c>
      <c r="M343" s="16" t="s">
        <v>2854</v>
      </c>
      <c r="N343" s="16"/>
      <c r="O343" s="16"/>
    </row>
    <row r="344" spans="1:15" x14ac:dyDescent="0.3">
      <c r="A344" s="16">
        <v>343</v>
      </c>
      <c r="B344" s="16" t="s">
        <v>1641</v>
      </c>
      <c r="C344" s="16" t="str">
        <f>"V2538386757001"</f>
        <v>V2538386757001</v>
      </c>
      <c r="D344" s="16" t="s">
        <v>2855</v>
      </c>
      <c r="E344" s="16" t="s">
        <v>2779</v>
      </c>
      <c r="F344" s="21">
        <v>9780071811118</v>
      </c>
      <c r="G344" s="16" t="s">
        <v>2691</v>
      </c>
      <c r="H344" s="16" t="s">
        <v>13</v>
      </c>
      <c r="I344" s="16">
        <v>2013</v>
      </c>
      <c r="J344" s="16" t="s">
        <v>2856</v>
      </c>
      <c r="K344" s="16" t="s">
        <v>2857</v>
      </c>
      <c r="L344" s="16" t="s">
        <v>15</v>
      </c>
      <c r="M344" s="16" t="s">
        <v>2858</v>
      </c>
      <c r="N344" s="16"/>
      <c r="O344" s="16"/>
    </row>
    <row r="345" spans="1:15" x14ac:dyDescent="0.3">
      <c r="A345" s="16">
        <v>344</v>
      </c>
      <c r="B345" s="16" t="s">
        <v>1641</v>
      </c>
      <c r="C345" s="16" t="str">
        <f>"V2538386758001"</f>
        <v>V2538386758001</v>
      </c>
      <c r="D345" s="16" t="s">
        <v>2859</v>
      </c>
      <c r="E345" s="16" t="s">
        <v>2779</v>
      </c>
      <c r="F345" s="21">
        <v>9780071811118</v>
      </c>
      <c r="G345" s="16" t="s">
        <v>2691</v>
      </c>
      <c r="H345" s="16" t="s">
        <v>13</v>
      </c>
      <c r="I345" s="16">
        <v>2013</v>
      </c>
      <c r="J345" s="16" t="s">
        <v>2860</v>
      </c>
      <c r="K345" s="16" t="s">
        <v>2828</v>
      </c>
      <c r="L345" s="16" t="s">
        <v>15</v>
      </c>
      <c r="M345" s="16" t="s">
        <v>2861</v>
      </c>
      <c r="N345" s="16"/>
      <c r="O345" s="16"/>
    </row>
    <row r="346" spans="1:15" x14ac:dyDescent="0.3">
      <c r="A346" s="16">
        <v>345</v>
      </c>
      <c r="B346" s="16" t="s">
        <v>1641</v>
      </c>
      <c r="C346" s="16" t="str">
        <f>"V2538386759001"</f>
        <v>V2538386759001</v>
      </c>
      <c r="D346" s="16" t="s">
        <v>2862</v>
      </c>
      <c r="E346" s="16" t="s">
        <v>2779</v>
      </c>
      <c r="F346" s="21">
        <v>9780071811118</v>
      </c>
      <c r="G346" s="16" t="s">
        <v>2691</v>
      </c>
      <c r="H346" s="16" t="s">
        <v>13</v>
      </c>
      <c r="I346" s="16">
        <v>2013</v>
      </c>
      <c r="J346" s="16" t="s">
        <v>2863</v>
      </c>
      <c r="K346" s="16" t="s">
        <v>2772</v>
      </c>
      <c r="L346" s="16" t="s">
        <v>15</v>
      </c>
      <c r="M346" s="16" t="s">
        <v>2864</v>
      </c>
      <c r="N346" s="16"/>
      <c r="O346" s="16"/>
    </row>
    <row r="347" spans="1:15" x14ac:dyDescent="0.3">
      <c r="A347" s="16">
        <v>346</v>
      </c>
      <c r="B347" s="16" t="s">
        <v>1641</v>
      </c>
      <c r="C347" s="16" t="str">
        <f>"V2630022175001"</f>
        <v>V2630022175001</v>
      </c>
      <c r="D347" s="16" t="s">
        <v>2865</v>
      </c>
      <c r="E347" s="16" t="s">
        <v>2866</v>
      </c>
      <c r="F347" s="19" t="s">
        <v>2867</v>
      </c>
      <c r="G347" s="16" t="s">
        <v>2868</v>
      </c>
      <c r="H347" s="16" t="s">
        <v>13</v>
      </c>
      <c r="I347" s="16">
        <v>2013</v>
      </c>
      <c r="J347" s="16" t="s">
        <v>2869</v>
      </c>
      <c r="K347" s="16" t="s">
        <v>2601</v>
      </c>
      <c r="L347" s="16" t="s">
        <v>15</v>
      </c>
      <c r="M347" s="16" t="s">
        <v>2870</v>
      </c>
      <c r="N347" s="16"/>
      <c r="O347" s="16"/>
    </row>
    <row r="348" spans="1:15" x14ac:dyDescent="0.3">
      <c r="A348" s="16">
        <v>347</v>
      </c>
      <c r="B348" s="16" t="s">
        <v>1641</v>
      </c>
      <c r="C348" s="16" t="str">
        <f>"V2630022176001"</f>
        <v>V2630022176001</v>
      </c>
      <c r="D348" s="16" t="s">
        <v>2871</v>
      </c>
      <c r="E348" s="16" t="s">
        <v>2866</v>
      </c>
      <c r="F348" s="19" t="s">
        <v>2867</v>
      </c>
      <c r="G348" s="16" t="s">
        <v>2868</v>
      </c>
      <c r="H348" s="16" t="s">
        <v>13</v>
      </c>
      <c r="I348" s="16">
        <v>2013</v>
      </c>
      <c r="J348" s="16" t="s">
        <v>2872</v>
      </c>
      <c r="K348" s="16" t="s">
        <v>2873</v>
      </c>
      <c r="L348" s="16" t="s">
        <v>15</v>
      </c>
      <c r="M348" s="16" t="s">
        <v>2874</v>
      </c>
      <c r="N348" s="16"/>
      <c r="O348" s="16"/>
    </row>
    <row r="349" spans="1:15" x14ac:dyDescent="0.3">
      <c r="A349" s="16">
        <v>348</v>
      </c>
      <c r="B349" s="16" t="s">
        <v>1641</v>
      </c>
      <c r="C349" s="16" t="str">
        <f>"V2630022177001"</f>
        <v>V2630022177001</v>
      </c>
      <c r="D349" s="16" t="s">
        <v>2875</v>
      </c>
      <c r="E349" s="16" t="s">
        <v>2866</v>
      </c>
      <c r="F349" s="19" t="s">
        <v>2867</v>
      </c>
      <c r="G349" s="16" t="s">
        <v>2868</v>
      </c>
      <c r="H349" s="16" t="s">
        <v>13</v>
      </c>
      <c r="I349" s="16">
        <v>2013</v>
      </c>
      <c r="J349" s="16" t="s">
        <v>2876</v>
      </c>
      <c r="K349" s="16" t="s">
        <v>2873</v>
      </c>
      <c r="L349" s="16" t="s">
        <v>15</v>
      </c>
      <c r="M349" s="16" t="s">
        <v>2877</v>
      </c>
      <c r="N349" s="16"/>
      <c r="O349" s="16"/>
    </row>
    <row r="350" spans="1:15" x14ac:dyDescent="0.3">
      <c r="A350" s="16">
        <v>349</v>
      </c>
      <c r="B350" s="16" t="s">
        <v>1641</v>
      </c>
      <c r="C350" s="16" t="str">
        <f>"V2630022178001"</f>
        <v>V2630022178001</v>
      </c>
      <c r="D350" s="16" t="s">
        <v>2878</v>
      </c>
      <c r="E350" s="16" t="s">
        <v>2866</v>
      </c>
      <c r="F350" s="19" t="s">
        <v>2867</v>
      </c>
      <c r="G350" s="16" t="s">
        <v>2868</v>
      </c>
      <c r="H350" s="16" t="s">
        <v>13</v>
      </c>
      <c r="I350" s="16">
        <v>2013</v>
      </c>
      <c r="J350" s="16" t="s">
        <v>2879</v>
      </c>
      <c r="K350" s="16" t="s">
        <v>2880</v>
      </c>
      <c r="L350" s="16" t="s">
        <v>15</v>
      </c>
      <c r="M350" s="16" t="s">
        <v>2881</v>
      </c>
      <c r="N350" s="16"/>
      <c r="O350" s="16"/>
    </row>
    <row r="351" spans="1:15" x14ac:dyDescent="0.3">
      <c r="A351" s="16">
        <v>350</v>
      </c>
      <c r="B351" s="16" t="s">
        <v>1641</v>
      </c>
      <c r="C351" s="16" t="str">
        <f>"V2630022179001"</f>
        <v>V2630022179001</v>
      </c>
      <c r="D351" s="16" t="s">
        <v>2882</v>
      </c>
      <c r="E351" s="16" t="s">
        <v>2866</v>
      </c>
      <c r="F351" s="19" t="s">
        <v>2867</v>
      </c>
      <c r="G351" s="16" t="s">
        <v>2868</v>
      </c>
      <c r="H351" s="16" t="s">
        <v>13</v>
      </c>
      <c r="I351" s="16">
        <v>2013</v>
      </c>
      <c r="J351" s="16" t="s">
        <v>2883</v>
      </c>
      <c r="K351" s="16" t="s">
        <v>2884</v>
      </c>
      <c r="L351" s="16" t="s">
        <v>15</v>
      </c>
      <c r="M351" s="16" t="s">
        <v>2885</v>
      </c>
      <c r="N351" s="16"/>
      <c r="O351" s="16"/>
    </row>
    <row r="352" spans="1:15" x14ac:dyDescent="0.3">
      <c r="A352" s="16">
        <v>351</v>
      </c>
      <c r="B352" s="16" t="s">
        <v>1641</v>
      </c>
      <c r="C352" s="16" t="str">
        <f>"V2630022180001"</f>
        <v>V2630022180001</v>
      </c>
      <c r="D352" s="16" t="s">
        <v>2886</v>
      </c>
      <c r="E352" s="16" t="s">
        <v>2866</v>
      </c>
      <c r="F352" s="19" t="s">
        <v>2867</v>
      </c>
      <c r="G352" s="16" t="s">
        <v>2868</v>
      </c>
      <c r="H352" s="16" t="s">
        <v>13</v>
      </c>
      <c r="I352" s="16">
        <v>2013</v>
      </c>
      <c r="J352" s="16" t="s">
        <v>2887</v>
      </c>
      <c r="K352" s="16" t="s">
        <v>2888</v>
      </c>
      <c r="L352" s="16" t="s">
        <v>15</v>
      </c>
      <c r="M352" s="16" t="s">
        <v>2889</v>
      </c>
      <c r="N352" s="16"/>
      <c r="O352" s="16"/>
    </row>
    <row r="353" spans="1:15" x14ac:dyDescent="0.3">
      <c r="A353" s="16">
        <v>352</v>
      </c>
      <c r="B353" s="16" t="s">
        <v>1641</v>
      </c>
      <c r="C353" s="16" t="str">
        <f>"V2630022181001"</f>
        <v>V2630022181001</v>
      </c>
      <c r="D353" s="16" t="s">
        <v>2890</v>
      </c>
      <c r="E353" s="16" t="s">
        <v>2866</v>
      </c>
      <c r="F353" s="19" t="s">
        <v>2867</v>
      </c>
      <c r="G353" s="16" t="s">
        <v>2868</v>
      </c>
      <c r="H353" s="16" t="s">
        <v>13</v>
      </c>
      <c r="I353" s="16">
        <v>2013</v>
      </c>
      <c r="J353" s="16" t="s">
        <v>2891</v>
      </c>
      <c r="K353" s="16" t="s">
        <v>2892</v>
      </c>
      <c r="L353" s="16" t="s">
        <v>15</v>
      </c>
      <c r="M353" s="16" t="s">
        <v>2893</v>
      </c>
      <c r="N353" s="16"/>
      <c r="O353" s="16"/>
    </row>
    <row r="354" spans="1:15" x14ac:dyDescent="0.3">
      <c r="A354" s="16">
        <v>353</v>
      </c>
      <c r="B354" s="16" t="s">
        <v>1641</v>
      </c>
      <c r="C354" s="16" t="str">
        <f>"V2630022182001"</f>
        <v>V2630022182001</v>
      </c>
      <c r="D354" s="16" t="s">
        <v>2894</v>
      </c>
      <c r="E354" s="16" t="s">
        <v>2866</v>
      </c>
      <c r="F354" s="19" t="s">
        <v>2867</v>
      </c>
      <c r="G354" s="16" t="s">
        <v>2868</v>
      </c>
      <c r="H354" s="16" t="s">
        <v>13</v>
      </c>
      <c r="I354" s="16">
        <v>2013</v>
      </c>
      <c r="J354" s="16" t="s">
        <v>2895</v>
      </c>
      <c r="K354" s="16" t="s">
        <v>2884</v>
      </c>
      <c r="L354" s="16" t="s">
        <v>15</v>
      </c>
      <c r="M354" s="16" t="s">
        <v>2896</v>
      </c>
      <c r="N354" s="16"/>
      <c r="O354" s="16"/>
    </row>
    <row r="355" spans="1:15" x14ac:dyDescent="0.3">
      <c r="A355" s="16">
        <v>354</v>
      </c>
      <c r="B355" s="16" t="s">
        <v>1641</v>
      </c>
      <c r="C355" s="16" t="str">
        <f>"V2630022183001"</f>
        <v>V2630022183001</v>
      </c>
      <c r="D355" s="16" t="s">
        <v>2897</v>
      </c>
      <c r="E355" s="16" t="s">
        <v>2866</v>
      </c>
      <c r="F355" s="19" t="s">
        <v>2867</v>
      </c>
      <c r="G355" s="16" t="s">
        <v>2868</v>
      </c>
      <c r="H355" s="16" t="s">
        <v>13</v>
      </c>
      <c r="I355" s="16">
        <v>2013</v>
      </c>
      <c r="J355" s="16" t="s">
        <v>2898</v>
      </c>
      <c r="K355" s="16" t="s">
        <v>2899</v>
      </c>
      <c r="L355" s="16" t="s">
        <v>15</v>
      </c>
      <c r="M355" s="16" t="s">
        <v>2900</v>
      </c>
      <c r="N355" s="16"/>
      <c r="O355" s="16"/>
    </row>
    <row r="356" spans="1:15" x14ac:dyDescent="0.3">
      <c r="A356" s="16">
        <v>355</v>
      </c>
      <c r="B356" s="16" t="s">
        <v>1641</v>
      </c>
      <c r="C356" s="16" t="str">
        <f>"V2630022184001"</f>
        <v>V2630022184001</v>
      </c>
      <c r="D356" s="16" t="s">
        <v>2901</v>
      </c>
      <c r="E356" s="16" t="s">
        <v>2866</v>
      </c>
      <c r="F356" s="19" t="s">
        <v>2867</v>
      </c>
      <c r="G356" s="16" t="s">
        <v>2868</v>
      </c>
      <c r="H356" s="16" t="s">
        <v>13</v>
      </c>
      <c r="I356" s="16">
        <v>2013</v>
      </c>
      <c r="J356" s="16" t="s">
        <v>2902</v>
      </c>
      <c r="K356" s="16" t="s">
        <v>2899</v>
      </c>
      <c r="L356" s="16" t="s">
        <v>15</v>
      </c>
      <c r="M356" s="16" t="s">
        <v>2903</v>
      </c>
      <c r="N356" s="16"/>
      <c r="O356" s="16"/>
    </row>
    <row r="357" spans="1:15" x14ac:dyDescent="0.3">
      <c r="A357" s="16">
        <v>356</v>
      </c>
      <c r="B357" s="16" t="s">
        <v>1641</v>
      </c>
      <c r="C357" s="16" t="str">
        <f>"V2630022185001"</f>
        <v>V2630022185001</v>
      </c>
      <c r="D357" s="16" t="s">
        <v>2904</v>
      </c>
      <c r="E357" s="16" t="s">
        <v>2866</v>
      </c>
      <c r="F357" s="19" t="s">
        <v>2867</v>
      </c>
      <c r="G357" s="16" t="s">
        <v>2868</v>
      </c>
      <c r="H357" s="16" t="s">
        <v>13</v>
      </c>
      <c r="I357" s="16">
        <v>2013</v>
      </c>
      <c r="J357" s="16" t="s">
        <v>2905</v>
      </c>
      <c r="K357" s="16" t="s">
        <v>2719</v>
      </c>
      <c r="L357" s="16" t="s">
        <v>15</v>
      </c>
      <c r="M357" s="16" t="s">
        <v>2906</v>
      </c>
      <c r="N357" s="16"/>
      <c r="O357" s="16"/>
    </row>
    <row r="358" spans="1:15" x14ac:dyDescent="0.3">
      <c r="A358" s="16">
        <v>357</v>
      </c>
      <c r="B358" s="16" t="s">
        <v>1641</v>
      </c>
      <c r="C358" s="16" t="str">
        <f>"V2630022186001"</f>
        <v>V2630022186001</v>
      </c>
      <c r="D358" s="16" t="s">
        <v>2907</v>
      </c>
      <c r="E358" s="16" t="s">
        <v>2866</v>
      </c>
      <c r="F358" s="19" t="s">
        <v>2867</v>
      </c>
      <c r="G358" s="16" t="s">
        <v>2868</v>
      </c>
      <c r="H358" s="16" t="s">
        <v>13</v>
      </c>
      <c r="I358" s="16">
        <v>2013</v>
      </c>
      <c r="J358" s="16" t="s">
        <v>2908</v>
      </c>
      <c r="K358" s="16" t="s">
        <v>2909</v>
      </c>
      <c r="L358" s="16" t="s">
        <v>15</v>
      </c>
      <c r="M358" s="16" t="s">
        <v>2910</v>
      </c>
      <c r="N358" s="16"/>
      <c r="O358" s="16"/>
    </row>
    <row r="359" spans="1:15" x14ac:dyDescent="0.3">
      <c r="A359" s="16">
        <v>358</v>
      </c>
      <c r="B359" s="16" t="s">
        <v>1641</v>
      </c>
      <c r="C359" s="16" t="str">
        <f>"V2630022187001"</f>
        <v>V2630022187001</v>
      </c>
      <c r="D359" s="16" t="s">
        <v>2911</v>
      </c>
      <c r="E359" s="16" t="s">
        <v>2866</v>
      </c>
      <c r="F359" s="19" t="s">
        <v>2867</v>
      </c>
      <c r="G359" s="16" t="s">
        <v>2868</v>
      </c>
      <c r="H359" s="16" t="s">
        <v>13</v>
      </c>
      <c r="I359" s="16">
        <v>2013</v>
      </c>
      <c r="J359" s="16" t="s">
        <v>2912</v>
      </c>
      <c r="K359" s="16" t="s">
        <v>2601</v>
      </c>
      <c r="L359" s="16" t="s">
        <v>15</v>
      </c>
      <c r="M359" s="16" t="s">
        <v>2913</v>
      </c>
      <c r="N359" s="16"/>
      <c r="O359" s="16"/>
    </row>
    <row r="360" spans="1:15" x14ac:dyDescent="0.3">
      <c r="A360" s="16">
        <v>359</v>
      </c>
      <c r="B360" s="16" t="s">
        <v>1641</v>
      </c>
      <c r="C360" s="16" t="str">
        <f>"V2630022188001"</f>
        <v>V2630022188001</v>
      </c>
      <c r="D360" s="16" t="s">
        <v>2914</v>
      </c>
      <c r="E360" s="16" t="s">
        <v>2866</v>
      </c>
      <c r="F360" s="19" t="s">
        <v>2867</v>
      </c>
      <c r="G360" s="16" t="s">
        <v>2868</v>
      </c>
      <c r="H360" s="16" t="s">
        <v>13</v>
      </c>
      <c r="I360" s="16">
        <v>2013</v>
      </c>
      <c r="J360" s="16" t="s">
        <v>2915</v>
      </c>
      <c r="K360" s="16" t="s">
        <v>95</v>
      </c>
      <c r="L360" s="16" t="s">
        <v>15</v>
      </c>
      <c r="M360" s="16" t="s">
        <v>2916</v>
      </c>
      <c r="N360" s="16"/>
      <c r="O360" s="16"/>
    </row>
    <row r="361" spans="1:15" x14ac:dyDescent="0.3">
      <c r="A361" s="16">
        <v>360</v>
      </c>
      <c r="B361" s="16" t="s">
        <v>1641</v>
      </c>
      <c r="C361" s="16" t="str">
        <f>"V2630022189001"</f>
        <v>V2630022189001</v>
      </c>
      <c r="D361" s="16" t="s">
        <v>2917</v>
      </c>
      <c r="E361" s="16" t="s">
        <v>2866</v>
      </c>
      <c r="F361" s="19" t="s">
        <v>2867</v>
      </c>
      <c r="G361" s="16" t="s">
        <v>2868</v>
      </c>
      <c r="H361" s="16" t="s">
        <v>13</v>
      </c>
      <c r="I361" s="16">
        <v>2013</v>
      </c>
      <c r="J361" s="16" t="s">
        <v>2918</v>
      </c>
      <c r="K361" s="16" t="s">
        <v>2873</v>
      </c>
      <c r="L361" s="16" t="s">
        <v>15</v>
      </c>
      <c r="M361" s="16" t="s">
        <v>2919</v>
      </c>
      <c r="N361" s="16"/>
      <c r="O361" s="16"/>
    </row>
    <row r="362" spans="1:15" x14ac:dyDescent="0.3">
      <c r="A362" s="16">
        <v>361</v>
      </c>
      <c r="B362" s="16" t="s">
        <v>1641</v>
      </c>
      <c r="C362" s="16" t="str">
        <f>"V2630022190001"</f>
        <v>V2630022190001</v>
      </c>
      <c r="D362" s="16" t="s">
        <v>2920</v>
      </c>
      <c r="E362" s="16" t="s">
        <v>2866</v>
      </c>
      <c r="F362" s="19" t="s">
        <v>2867</v>
      </c>
      <c r="G362" s="16" t="s">
        <v>2868</v>
      </c>
      <c r="H362" s="16" t="s">
        <v>13</v>
      </c>
      <c r="I362" s="16">
        <v>2013</v>
      </c>
      <c r="J362" s="16" t="s">
        <v>2921</v>
      </c>
      <c r="K362" s="16" t="s">
        <v>2922</v>
      </c>
      <c r="L362" s="16" t="s">
        <v>15</v>
      </c>
      <c r="M362" s="16" t="s">
        <v>2923</v>
      </c>
      <c r="N362" s="16"/>
      <c r="O362" s="16"/>
    </row>
    <row r="363" spans="1:15" x14ac:dyDescent="0.3">
      <c r="A363" s="16">
        <v>362</v>
      </c>
      <c r="B363" s="16" t="s">
        <v>1641</v>
      </c>
      <c r="C363" s="16" t="str">
        <f>"V2630022191001"</f>
        <v>V2630022191001</v>
      </c>
      <c r="D363" s="16" t="s">
        <v>2924</v>
      </c>
      <c r="E363" s="16" t="s">
        <v>2866</v>
      </c>
      <c r="F363" s="19" t="s">
        <v>2867</v>
      </c>
      <c r="G363" s="16" t="s">
        <v>2868</v>
      </c>
      <c r="H363" s="16" t="s">
        <v>13</v>
      </c>
      <c r="I363" s="16">
        <v>2013</v>
      </c>
      <c r="J363" s="16" t="s">
        <v>2925</v>
      </c>
      <c r="K363" s="16" t="s">
        <v>2926</v>
      </c>
      <c r="L363" s="16" t="s">
        <v>15</v>
      </c>
      <c r="M363" s="16" t="s">
        <v>2927</v>
      </c>
      <c r="N363" s="16"/>
      <c r="O363" s="16"/>
    </row>
    <row r="364" spans="1:15" x14ac:dyDescent="0.3">
      <c r="A364" s="16">
        <v>363</v>
      </c>
      <c r="B364" s="16" t="s">
        <v>1641</v>
      </c>
      <c r="C364" s="16" t="str">
        <f>"V2630022192001"</f>
        <v>V2630022192001</v>
      </c>
      <c r="D364" s="16" t="s">
        <v>2928</v>
      </c>
      <c r="E364" s="16" t="s">
        <v>2866</v>
      </c>
      <c r="F364" s="19" t="s">
        <v>2867</v>
      </c>
      <c r="G364" s="16" t="s">
        <v>2868</v>
      </c>
      <c r="H364" s="16" t="s">
        <v>13</v>
      </c>
      <c r="I364" s="16">
        <v>2013</v>
      </c>
      <c r="J364" s="16" t="s">
        <v>2929</v>
      </c>
      <c r="K364" s="16" t="s">
        <v>2601</v>
      </c>
      <c r="L364" s="16" t="s">
        <v>15</v>
      </c>
      <c r="M364" s="16" t="s">
        <v>2930</v>
      </c>
      <c r="N364" s="16"/>
      <c r="O364" s="16"/>
    </row>
    <row r="365" spans="1:15" x14ac:dyDescent="0.3">
      <c r="A365" s="16">
        <v>364</v>
      </c>
      <c r="B365" s="16" t="s">
        <v>1641</v>
      </c>
      <c r="C365" s="16" t="str">
        <f>"V2630022193001"</f>
        <v>V2630022193001</v>
      </c>
      <c r="D365" s="16" t="s">
        <v>2931</v>
      </c>
      <c r="E365" s="16" t="s">
        <v>2866</v>
      </c>
      <c r="F365" s="19" t="s">
        <v>2867</v>
      </c>
      <c r="G365" s="16" t="s">
        <v>2868</v>
      </c>
      <c r="H365" s="16" t="s">
        <v>13</v>
      </c>
      <c r="I365" s="16">
        <v>2013</v>
      </c>
      <c r="J365" s="16" t="s">
        <v>2932</v>
      </c>
      <c r="K365" s="16" t="s">
        <v>2873</v>
      </c>
      <c r="L365" s="16" t="s">
        <v>15</v>
      </c>
      <c r="M365" s="16" t="s">
        <v>2933</v>
      </c>
      <c r="N365" s="16"/>
      <c r="O365" s="16"/>
    </row>
    <row r="366" spans="1:15" x14ac:dyDescent="0.3">
      <c r="A366" s="16">
        <v>365</v>
      </c>
      <c r="B366" s="16" t="s">
        <v>1641</v>
      </c>
      <c r="C366" s="16" t="str">
        <f>"V2630022194001"</f>
        <v>V2630022194001</v>
      </c>
      <c r="D366" s="16" t="s">
        <v>2934</v>
      </c>
      <c r="E366" s="16" t="s">
        <v>2866</v>
      </c>
      <c r="F366" s="19" t="s">
        <v>2867</v>
      </c>
      <c r="G366" s="16" t="s">
        <v>2868</v>
      </c>
      <c r="H366" s="16" t="s">
        <v>13</v>
      </c>
      <c r="I366" s="16">
        <v>2013</v>
      </c>
      <c r="J366" s="16" t="s">
        <v>2935</v>
      </c>
      <c r="K366" s="16" t="s">
        <v>2936</v>
      </c>
      <c r="L366" s="16" t="s">
        <v>15</v>
      </c>
      <c r="M366" s="16" t="s">
        <v>2937</v>
      </c>
      <c r="N366" s="16"/>
      <c r="O366" s="16"/>
    </row>
    <row r="367" spans="1:15" x14ac:dyDescent="0.3">
      <c r="A367" s="16">
        <v>366</v>
      </c>
      <c r="B367" s="16" t="s">
        <v>1641</v>
      </c>
      <c r="C367" s="16" t="str">
        <f>"V2630022195001"</f>
        <v>V2630022195001</v>
      </c>
      <c r="D367" s="16" t="s">
        <v>2938</v>
      </c>
      <c r="E367" s="16" t="s">
        <v>2866</v>
      </c>
      <c r="F367" s="19" t="s">
        <v>2867</v>
      </c>
      <c r="G367" s="16" t="s">
        <v>2868</v>
      </c>
      <c r="H367" s="16" t="s">
        <v>13</v>
      </c>
      <c r="I367" s="16">
        <v>2013</v>
      </c>
      <c r="J367" s="16" t="s">
        <v>2939</v>
      </c>
      <c r="K367" s="16" t="s">
        <v>2873</v>
      </c>
      <c r="L367" s="16" t="s">
        <v>15</v>
      </c>
      <c r="M367" s="16" t="s">
        <v>2940</v>
      </c>
      <c r="N367" s="16"/>
      <c r="O367" s="16"/>
    </row>
    <row r="368" spans="1:15" x14ac:dyDescent="0.3">
      <c r="A368" s="16">
        <v>367</v>
      </c>
      <c r="B368" s="16" t="s">
        <v>1641</v>
      </c>
      <c r="C368" s="16" t="str">
        <f>"V2630022196001"</f>
        <v>V2630022196001</v>
      </c>
      <c r="D368" s="16" t="s">
        <v>2941</v>
      </c>
      <c r="E368" s="16" t="s">
        <v>2866</v>
      </c>
      <c r="F368" s="19" t="s">
        <v>2867</v>
      </c>
      <c r="G368" s="16" t="s">
        <v>2868</v>
      </c>
      <c r="H368" s="16" t="s">
        <v>13</v>
      </c>
      <c r="I368" s="16">
        <v>2013</v>
      </c>
      <c r="J368" s="16" t="s">
        <v>2942</v>
      </c>
      <c r="K368" s="16" t="s">
        <v>2943</v>
      </c>
      <c r="L368" s="16" t="s">
        <v>15</v>
      </c>
      <c r="M368" s="16" t="s">
        <v>2944</v>
      </c>
      <c r="N368" s="16"/>
      <c r="O368" s="16"/>
    </row>
    <row r="369" spans="1:15" x14ac:dyDescent="0.3">
      <c r="A369" s="16">
        <v>368</v>
      </c>
      <c r="B369" s="16" t="s">
        <v>1641</v>
      </c>
      <c r="C369" s="16" t="str">
        <f>"V2630022197001"</f>
        <v>V2630022197001</v>
      </c>
      <c r="D369" s="16" t="s">
        <v>2945</v>
      </c>
      <c r="E369" s="16" t="s">
        <v>2866</v>
      </c>
      <c r="F369" s="19" t="s">
        <v>2867</v>
      </c>
      <c r="G369" s="16" t="s">
        <v>2868</v>
      </c>
      <c r="H369" s="16" t="s">
        <v>13</v>
      </c>
      <c r="I369" s="16">
        <v>2013</v>
      </c>
      <c r="J369" s="16" t="s">
        <v>2946</v>
      </c>
      <c r="K369" s="16" t="s">
        <v>2947</v>
      </c>
      <c r="L369" s="16" t="s">
        <v>15</v>
      </c>
      <c r="M369" s="16" t="s">
        <v>2948</v>
      </c>
      <c r="N369" s="16"/>
      <c r="O369" s="16"/>
    </row>
    <row r="370" spans="1:15" x14ac:dyDescent="0.3">
      <c r="A370" s="16">
        <v>369</v>
      </c>
      <c r="B370" s="16" t="s">
        <v>1641</v>
      </c>
      <c r="C370" s="16" t="str">
        <f>"V2630022198001"</f>
        <v>V2630022198001</v>
      </c>
      <c r="D370" s="16" t="s">
        <v>2949</v>
      </c>
      <c r="E370" s="16" t="s">
        <v>2866</v>
      </c>
      <c r="F370" s="19" t="s">
        <v>2867</v>
      </c>
      <c r="G370" s="16" t="s">
        <v>2868</v>
      </c>
      <c r="H370" s="16" t="s">
        <v>13</v>
      </c>
      <c r="I370" s="16">
        <v>2013</v>
      </c>
      <c r="J370" s="16" t="s">
        <v>2950</v>
      </c>
      <c r="K370" s="16" t="s">
        <v>2951</v>
      </c>
      <c r="L370" s="16" t="s">
        <v>15</v>
      </c>
      <c r="M370" s="16" t="s">
        <v>2952</v>
      </c>
      <c r="N370" s="16"/>
      <c r="O370" s="16"/>
    </row>
    <row r="371" spans="1:15" x14ac:dyDescent="0.3">
      <c r="A371" s="16">
        <v>370</v>
      </c>
      <c r="B371" s="16" t="s">
        <v>1641</v>
      </c>
      <c r="C371" s="16" t="str">
        <f>"V2630022199001"</f>
        <v>V2630022199001</v>
      </c>
      <c r="D371" s="16" t="s">
        <v>2953</v>
      </c>
      <c r="E371" s="16" t="s">
        <v>2866</v>
      </c>
      <c r="F371" s="19" t="s">
        <v>2867</v>
      </c>
      <c r="G371" s="16" t="s">
        <v>2868</v>
      </c>
      <c r="H371" s="16" t="s">
        <v>13</v>
      </c>
      <c r="I371" s="16">
        <v>2013</v>
      </c>
      <c r="J371" s="16" t="s">
        <v>2954</v>
      </c>
      <c r="K371" s="16" t="s">
        <v>2715</v>
      </c>
      <c r="L371" s="16" t="s">
        <v>15</v>
      </c>
      <c r="M371" s="16" t="s">
        <v>2955</v>
      </c>
      <c r="N371" s="16"/>
      <c r="O371" s="16"/>
    </row>
    <row r="372" spans="1:15" x14ac:dyDescent="0.3">
      <c r="A372" s="16">
        <v>371</v>
      </c>
      <c r="B372" s="16" t="s">
        <v>1641</v>
      </c>
      <c r="C372" s="16" t="str">
        <f>"V2707151783001"</f>
        <v>V2707151783001</v>
      </c>
      <c r="D372" s="16" t="s">
        <v>2956</v>
      </c>
      <c r="E372" s="16" t="s">
        <v>2957</v>
      </c>
      <c r="F372" s="19" t="s">
        <v>2958</v>
      </c>
      <c r="G372" s="16" t="s">
        <v>2959</v>
      </c>
      <c r="H372" s="16" t="s">
        <v>13</v>
      </c>
      <c r="I372" s="16">
        <v>2013</v>
      </c>
      <c r="J372" s="16" t="s">
        <v>2960</v>
      </c>
      <c r="K372" s="16" t="s">
        <v>2961</v>
      </c>
      <c r="L372" s="16" t="s">
        <v>15</v>
      </c>
      <c r="M372" s="16" t="s">
        <v>2962</v>
      </c>
      <c r="N372" s="16"/>
      <c r="O372" s="16"/>
    </row>
    <row r="373" spans="1:15" x14ac:dyDescent="0.3">
      <c r="A373" s="16">
        <v>372</v>
      </c>
      <c r="B373" s="16" t="s">
        <v>1641</v>
      </c>
      <c r="C373" s="16" t="str">
        <f>"V2707151784001"</f>
        <v>V2707151784001</v>
      </c>
      <c r="D373" s="16" t="s">
        <v>2963</v>
      </c>
      <c r="E373" s="16" t="s">
        <v>2957</v>
      </c>
      <c r="F373" s="19" t="s">
        <v>2958</v>
      </c>
      <c r="G373" s="16" t="s">
        <v>2959</v>
      </c>
      <c r="H373" s="16" t="s">
        <v>13</v>
      </c>
      <c r="I373" s="16">
        <v>2013</v>
      </c>
      <c r="J373" s="16" t="s">
        <v>2964</v>
      </c>
      <c r="K373" s="16" t="s">
        <v>2965</v>
      </c>
      <c r="L373" s="16" t="s">
        <v>15</v>
      </c>
      <c r="M373" s="16" t="s">
        <v>2966</v>
      </c>
      <c r="N373" s="16"/>
      <c r="O373" s="16"/>
    </row>
    <row r="374" spans="1:15" x14ac:dyDescent="0.3">
      <c r="A374" s="16">
        <v>373</v>
      </c>
      <c r="B374" s="16" t="s">
        <v>1641</v>
      </c>
      <c r="C374" s="16" t="str">
        <f>"V2707151785001"</f>
        <v>V2707151785001</v>
      </c>
      <c r="D374" s="16" t="s">
        <v>2967</v>
      </c>
      <c r="E374" s="16" t="s">
        <v>2957</v>
      </c>
      <c r="F374" s="19" t="s">
        <v>2958</v>
      </c>
      <c r="G374" s="16" t="s">
        <v>2959</v>
      </c>
      <c r="H374" s="16" t="s">
        <v>13</v>
      </c>
      <c r="I374" s="16">
        <v>2013</v>
      </c>
      <c r="J374" s="16" t="s">
        <v>2968</v>
      </c>
      <c r="K374" s="16" t="s">
        <v>2969</v>
      </c>
      <c r="L374" s="16" t="s">
        <v>15</v>
      </c>
      <c r="M374" s="16" t="s">
        <v>2970</v>
      </c>
      <c r="N374" s="16"/>
      <c r="O374" s="16"/>
    </row>
    <row r="375" spans="1:15" x14ac:dyDescent="0.3">
      <c r="A375" s="16">
        <v>374</v>
      </c>
      <c r="B375" s="16" t="s">
        <v>1641</v>
      </c>
      <c r="C375" s="16" t="str">
        <f>"V2707151786001"</f>
        <v>V2707151786001</v>
      </c>
      <c r="D375" s="16" t="s">
        <v>2971</v>
      </c>
      <c r="E375" s="16" t="s">
        <v>2957</v>
      </c>
      <c r="F375" s="19" t="s">
        <v>2958</v>
      </c>
      <c r="G375" s="16" t="s">
        <v>2959</v>
      </c>
      <c r="H375" s="16" t="s">
        <v>13</v>
      </c>
      <c r="I375" s="16">
        <v>2013</v>
      </c>
      <c r="J375" s="16" t="s">
        <v>2972</v>
      </c>
      <c r="K375" s="16" t="s">
        <v>2973</v>
      </c>
      <c r="L375" s="16" t="s">
        <v>15</v>
      </c>
      <c r="M375" s="16" t="s">
        <v>2974</v>
      </c>
      <c r="N375" s="16"/>
      <c r="O375" s="16"/>
    </row>
    <row r="376" spans="1:15" x14ac:dyDescent="0.3">
      <c r="A376" s="16">
        <v>375</v>
      </c>
      <c r="B376" s="16" t="s">
        <v>1641</v>
      </c>
      <c r="C376" s="16" t="str">
        <f>"V2707151787001"</f>
        <v>V2707151787001</v>
      </c>
      <c r="D376" s="16" t="s">
        <v>2975</v>
      </c>
      <c r="E376" s="16" t="s">
        <v>2957</v>
      </c>
      <c r="F376" s="19" t="s">
        <v>2958</v>
      </c>
      <c r="G376" s="16" t="s">
        <v>2959</v>
      </c>
      <c r="H376" s="16" t="s">
        <v>13</v>
      </c>
      <c r="I376" s="16">
        <v>2013</v>
      </c>
      <c r="J376" s="16" t="s">
        <v>2976</v>
      </c>
      <c r="K376" s="16" t="s">
        <v>2977</v>
      </c>
      <c r="L376" s="16" t="s">
        <v>15</v>
      </c>
      <c r="M376" s="16" t="s">
        <v>2978</v>
      </c>
      <c r="N376" s="16"/>
      <c r="O376" s="16"/>
    </row>
    <row r="377" spans="1:15" x14ac:dyDescent="0.3">
      <c r="A377" s="16">
        <v>376</v>
      </c>
      <c r="B377" s="16" t="s">
        <v>1641</v>
      </c>
      <c r="C377" s="16" t="str">
        <f>"V2707151788001"</f>
        <v>V2707151788001</v>
      </c>
      <c r="D377" s="16" t="s">
        <v>2979</v>
      </c>
      <c r="E377" s="16" t="s">
        <v>2957</v>
      </c>
      <c r="F377" s="19" t="s">
        <v>2958</v>
      </c>
      <c r="G377" s="16" t="s">
        <v>2959</v>
      </c>
      <c r="H377" s="16" t="s">
        <v>13</v>
      </c>
      <c r="I377" s="16">
        <v>2013</v>
      </c>
      <c r="J377" s="16" t="s">
        <v>2980</v>
      </c>
      <c r="K377" s="16" t="s">
        <v>2981</v>
      </c>
      <c r="L377" s="16" t="s">
        <v>15</v>
      </c>
      <c r="M377" s="16" t="s">
        <v>2982</v>
      </c>
      <c r="N377" s="16"/>
      <c r="O377" s="16"/>
    </row>
    <row r="378" spans="1:15" x14ac:dyDescent="0.3">
      <c r="A378" s="16">
        <v>377</v>
      </c>
      <c r="B378" s="16" t="s">
        <v>1641</v>
      </c>
      <c r="C378" s="16" t="str">
        <f>"V2707151789001"</f>
        <v>V2707151789001</v>
      </c>
      <c r="D378" s="16" t="s">
        <v>2983</v>
      </c>
      <c r="E378" s="16" t="s">
        <v>2957</v>
      </c>
      <c r="F378" s="19" t="s">
        <v>2958</v>
      </c>
      <c r="G378" s="16" t="s">
        <v>2959</v>
      </c>
      <c r="H378" s="16" t="s">
        <v>13</v>
      </c>
      <c r="I378" s="16">
        <v>2013</v>
      </c>
      <c r="J378" s="16" t="s">
        <v>2984</v>
      </c>
      <c r="K378" s="16" t="s">
        <v>2985</v>
      </c>
      <c r="L378" s="16" t="s">
        <v>15</v>
      </c>
      <c r="M378" s="16" t="s">
        <v>2986</v>
      </c>
      <c r="N378" s="16"/>
      <c r="O378" s="16"/>
    </row>
    <row r="379" spans="1:15" x14ac:dyDescent="0.3">
      <c r="A379" s="16">
        <v>378</v>
      </c>
      <c r="B379" s="16" t="s">
        <v>1641</v>
      </c>
      <c r="C379" s="16" t="str">
        <f>"V2707151790001"</f>
        <v>V2707151790001</v>
      </c>
      <c r="D379" s="16" t="s">
        <v>2987</v>
      </c>
      <c r="E379" s="16" t="s">
        <v>2957</v>
      </c>
      <c r="F379" s="19" t="s">
        <v>2958</v>
      </c>
      <c r="G379" s="16" t="s">
        <v>2959</v>
      </c>
      <c r="H379" s="16" t="s">
        <v>13</v>
      </c>
      <c r="I379" s="16">
        <v>2013</v>
      </c>
      <c r="J379" s="16" t="s">
        <v>2988</v>
      </c>
      <c r="K379" s="16" t="s">
        <v>2989</v>
      </c>
      <c r="L379" s="16" t="s">
        <v>15</v>
      </c>
      <c r="M379" s="16" t="s">
        <v>2990</v>
      </c>
      <c r="N379" s="16"/>
      <c r="O379" s="16"/>
    </row>
    <row r="380" spans="1:15" x14ac:dyDescent="0.3">
      <c r="A380" s="16">
        <v>379</v>
      </c>
      <c r="B380" s="16" t="s">
        <v>1641</v>
      </c>
      <c r="C380" s="16" t="str">
        <f>"V2707151791001"</f>
        <v>V2707151791001</v>
      </c>
      <c r="D380" s="16" t="s">
        <v>2991</v>
      </c>
      <c r="E380" s="16" t="s">
        <v>2957</v>
      </c>
      <c r="F380" s="19" t="s">
        <v>2958</v>
      </c>
      <c r="G380" s="16" t="s">
        <v>2959</v>
      </c>
      <c r="H380" s="16" t="s">
        <v>13</v>
      </c>
      <c r="I380" s="16">
        <v>2013</v>
      </c>
      <c r="J380" s="16" t="s">
        <v>2992</v>
      </c>
      <c r="K380" s="16" t="s">
        <v>698</v>
      </c>
      <c r="L380" s="16" t="s">
        <v>15</v>
      </c>
      <c r="M380" s="16" t="s">
        <v>2993</v>
      </c>
      <c r="N380" s="16"/>
      <c r="O380" s="16"/>
    </row>
    <row r="381" spans="1:15" x14ac:dyDescent="0.3">
      <c r="A381" s="16">
        <v>380</v>
      </c>
      <c r="B381" s="16" t="s">
        <v>1641</v>
      </c>
      <c r="C381" s="16" t="str">
        <f>"V2707151792001"</f>
        <v>V2707151792001</v>
      </c>
      <c r="D381" s="16" t="s">
        <v>2994</v>
      </c>
      <c r="E381" s="16" t="s">
        <v>2957</v>
      </c>
      <c r="F381" s="19" t="s">
        <v>2958</v>
      </c>
      <c r="G381" s="16" t="s">
        <v>2959</v>
      </c>
      <c r="H381" s="16" t="s">
        <v>13</v>
      </c>
      <c r="I381" s="16">
        <v>2013</v>
      </c>
      <c r="J381" s="16" t="s">
        <v>2995</v>
      </c>
      <c r="K381" s="16" t="s">
        <v>2996</v>
      </c>
      <c r="L381" s="16" t="s">
        <v>15</v>
      </c>
      <c r="M381" s="16" t="s">
        <v>2997</v>
      </c>
      <c r="N381" s="16"/>
      <c r="O381" s="16"/>
    </row>
    <row r="382" spans="1:15" x14ac:dyDescent="0.3">
      <c r="A382" s="16">
        <v>381</v>
      </c>
      <c r="B382" s="16" t="s">
        <v>1641</v>
      </c>
      <c r="C382" s="16" t="str">
        <f>"V2707151793001"</f>
        <v>V2707151793001</v>
      </c>
      <c r="D382" s="16" t="s">
        <v>2998</v>
      </c>
      <c r="E382" s="16" t="s">
        <v>2957</v>
      </c>
      <c r="F382" s="19" t="s">
        <v>2958</v>
      </c>
      <c r="G382" s="16" t="s">
        <v>2959</v>
      </c>
      <c r="H382" s="16" t="s">
        <v>13</v>
      </c>
      <c r="I382" s="16">
        <v>2013</v>
      </c>
      <c r="J382" s="16" t="s">
        <v>2999</v>
      </c>
      <c r="K382" s="16" t="s">
        <v>3000</v>
      </c>
      <c r="L382" s="16" t="s">
        <v>15</v>
      </c>
      <c r="M382" s="16" t="s">
        <v>3001</v>
      </c>
      <c r="N382" s="16"/>
      <c r="O382" s="16"/>
    </row>
    <row r="383" spans="1:15" x14ac:dyDescent="0.3">
      <c r="A383" s="16">
        <v>382</v>
      </c>
      <c r="B383" s="16" t="s">
        <v>1641</v>
      </c>
      <c r="C383" s="16" t="str">
        <f>"V2707151794001"</f>
        <v>V2707151794001</v>
      </c>
      <c r="D383" s="16" t="s">
        <v>3002</v>
      </c>
      <c r="E383" s="16" t="s">
        <v>2957</v>
      </c>
      <c r="F383" s="19" t="s">
        <v>2958</v>
      </c>
      <c r="G383" s="16" t="s">
        <v>2959</v>
      </c>
      <c r="H383" s="16" t="s">
        <v>13</v>
      </c>
      <c r="I383" s="16">
        <v>2013</v>
      </c>
      <c r="J383" s="16" t="s">
        <v>3003</v>
      </c>
      <c r="K383" s="16" t="s">
        <v>3004</v>
      </c>
      <c r="L383" s="16" t="s">
        <v>15</v>
      </c>
      <c r="M383" s="16" t="s">
        <v>3005</v>
      </c>
      <c r="N383" s="16"/>
      <c r="O383" s="16"/>
    </row>
    <row r="384" spans="1:15" x14ac:dyDescent="0.3">
      <c r="A384" s="16">
        <v>383</v>
      </c>
      <c r="B384" s="16" t="s">
        <v>1641</v>
      </c>
      <c r="C384" s="16" t="str">
        <f>"V2707151795001"</f>
        <v>V2707151795001</v>
      </c>
      <c r="D384" s="16" t="s">
        <v>3006</v>
      </c>
      <c r="E384" s="16" t="s">
        <v>2957</v>
      </c>
      <c r="F384" s="19" t="s">
        <v>2958</v>
      </c>
      <c r="G384" s="16" t="s">
        <v>2959</v>
      </c>
      <c r="H384" s="16" t="s">
        <v>13</v>
      </c>
      <c r="I384" s="16">
        <v>2013</v>
      </c>
      <c r="J384" s="16" t="s">
        <v>3007</v>
      </c>
      <c r="K384" s="16" t="s">
        <v>3008</v>
      </c>
      <c r="L384" s="16" t="s">
        <v>15</v>
      </c>
      <c r="M384" s="16" t="s">
        <v>3009</v>
      </c>
      <c r="N384" s="16"/>
      <c r="O384" s="16"/>
    </row>
    <row r="385" spans="1:15" x14ac:dyDescent="0.3">
      <c r="A385" s="16">
        <v>384</v>
      </c>
      <c r="B385" s="16" t="s">
        <v>1641</v>
      </c>
      <c r="C385" s="16" t="str">
        <f>"V2707151796001"</f>
        <v>V2707151796001</v>
      </c>
      <c r="D385" s="16" t="s">
        <v>3010</v>
      </c>
      <c r="E385" s="16" t="s">
        <v>2957</v>
      </c>
      <c r="F385" s="19" t="s">
        <v>2958</v>
      </c>
      <c r="G385" s="16" t="s">
        <v>2959</v>
      </c>
      <c r="H385" s="16" t="s">
        <v>13</v>
      </c>
      <c r="I385" s="16">
        <v>2013</v>
      </c>
      <c r="J385" s="16" t="s">
        <v>3011</v>
      </c>
      <c r="K385" s="16" t="s">
        <v>3012</v>
      </c>
      <c r="L385" s="16" t="s">
        <v>15</v>
      </c>
      <c r="M385" s="16" t="s">
        <v>3013</v>
      </c>
      <c r="N385" s="16"/>
      <c r="O385" s="16"/>
    </row>
    <row r="386" spans="1:15" x14ac:dyDescent="0.3">
      <c r="A386" s="16">
        <v>385</v>
      </c>
      <c r="B386" s="16" t="s">
        <v>1641</v>
      </c>
      <c r="C386" s="16" t="str">
        <f>"V2707151797001"</f>
        <v>V2707151797001</v>
      </c>
      <c r="D386" s="16" t="s">
        <v>3014</v>
      </c>
      <c r="E386" s="16" t="s">
        <v>2957</v>
      </c>
      <c r="F386" s="19" t="s">
        <v>2958</v>
      </c>
      <c r="G386" s="16" t="s">
        <v>2959</v>
      </c>
      <c r="H386" s="16" t="s">
        <v>13</v>
      </c>
      <c r="I386" s="16">
        <v>2013</v>
      </c>
      <c r="J386" s="16" t="s">
        <v>3015</v>
      </c>
      <c r="K386" s="16" t="s">
        <v>3016</v>
      </c>
      <c r="L386" s="16" t="s">
        <v>15</v>
      </c>
      <c r="M386" s="16" t="s">
        <v>3017</v>
      </c>
      <c r="N386" s="16"/>
      <c r="O386" s="16"/>
    </row>
    <row r="387" spans="1:15" x14ac:dyDescent="0.3">
      <c r="A387" s="16">
        <v>386</v>
      </c>
      <c r="B387" s="16" t="s">
        <v>1641</v>
      </c>
      <c r="C387" s="16" t="str">
        <f>"V2707151798001"</f>
        <v>V2707151798001</v>
      </c>
      <c r="D387" s="16" t="s">
        <v>3018</v>
      </c>
      <c r="E387" s="16" t="s">
        <v>2957</v>
      </c>
      <c r="F387" s="19" t="s">
        <v>2958</v>
      </c>
      <c r="G387" s="16" t="s">
        <v>2959</v>
      </c>
      <c r="H387" s="16" t="s">
        <v>13</v>
      </c>
      <c r="I387" s="16">
        <v>2013</v>
      </c>
      <c r="J387" s="16" t="s">
        <v>3019</v>
      </c>
      <c r="K387" s="16" t="s">
        <v>774</v>
      </c>
      <c r="L387" s="16" t="s">
        <v>15</v>
      </c>
      <c r="M387" s="16" t="s">
        <v>3020</v>
      </c>
      <c r="N387" s="16"/>
      <c r="O387" s="16"/>
    </row>
    <row r="388" spans="1:15" x14ac:dyDescent="0.3">
      <c r="A388" s="16">
        <v>387</v>
      </c>
      <c r="B388" s="16" t="s">
        <v>1641</v>
      </c>
      <c r="C388" s="16" t="str">
        <f>"V2707151799001"</f>
        <v>V2707151799001</v>
      </c>
      <c r="D388" s="16" t="s">
        <v>3021</v>
      </c>
      <c r="E388" s="16" t="s">
        <v>2957</v>
      </c>
      <c r="F388" s="19" t="s">
        <v>2958</v>
      </c>
      <c r="G388" s="16" t="s">
        <v>2959</v>
      </c>
      <c r="H388" s="16" t="s">
        <v>13</v>
      </c>
      <c r="I388" s="16">
        <v>2013</v>
      </c>
      <c r="J388" s="16" t="s">
        <v>3022</v>
      </c>
      <c r="K388" s="16" t="s">
        <v>3023</v>
      </c>
      <c r="L388" s="16" t="s">
        <v>15</v>
      </c>
      <c r="M388" s="16" t="s">
        <v>3024</v>
      </c>
      <c r="N388" s="16"/>
      <c r="O388" s="16"/>
    </row>
    <row r="389" spans="1:15" x14ac:dyDescent="0.3">
      <c r="A389" s="16">
        <v>388</v>
      </c>
      <c r="B389" s="16" t="s">
        <v>1641</v>
      </c>
      <c r="C389" s="16" t="str">
        <f>"V2707151800001"</f>
        <v>V2707151800001</v>
      </c>
      <c r="D389" s="16" t="s">
        <v>3025</v>
      </c>
      <c r="E389" s="16" t="s">
        <v>2957</v>
      </c>
      <c r="F389" s="19" t="s">
        <v>2958</v>
      </c>
      <c r="G389" s="16" t="s">
        <v>2959</v>
      </c>
      <c r="H389" s="16" t="s">
        <v>13</v>
      </c>
      <c r="I389" s="16">
        <v>2013</v>
      </c>
      <c r="J389" s="16" t="s">
        <v>3026</v>
      </c>
      <c r="K389" s="16" t="s">
        <v>3027</v>
      </c>
      <c r="L389" s="16" t="s">
        <v>15</v>
      </c>
      <c r="M389" s="16" t="s">
        <v>3028</v>
      </c>
      <c r="N389" s="16"/>
      <c r="O389" s="16"/>
    </row>
    <row r="390" spans="1:15" x14ac:dyDescent="0.3">
      <c r="A390" s="16">
        <v>389</v>
      </c>
      <c r="B390" s="16" t="s">
        <v>1641</v>
      </c>
      <c r="C390" s="16" t="str">
        <f>"V2707151801001"</f>
        <v>V2707151801001</v>
      </c>
      <c r="D390" s="16" t="s">
        <v>3029</v>
      </c>
      <c r="E390" s="16" t="s">
        <v>2957</v>
      </c>
      <c r="F390" s="19" t="s">
        <v>2958</v>
      </c>
      <c r="G390" s="16" t="s">
        <v>2959</v>
      </c>
      <c r="H390" s="16" t="s">
        <v>13</v>
      </c>
      <c r="I390" s="16">
        <v>2013</v>
      </c>
      <c r="J390" s="16" t="s">
        <v>3030</v>
      </c>
      <c r="K390" s="16" t="s">
        <v>3031</v>
      </c>
      <c r="L390" s="16" t="s">
        <v>15</v>
      </c>
      <c r="M390" s="16" t="s">
        <v>3032</v>
      </c>
      <c r="N390" s="16"/>
      <c r="O390" s="16"/>
    </row>
    <row r="391" spans="1:15" x14ac:dyDescent="0.3">
      <c r="A391" s="16">
        <v>390</v>
      </c>
      <c r="B391" s="16" t="s">
        <v>1641</v>
      </c>
      <c r="C391" s="16" t="str">
        <f>"V2707151802001"</f>
        <v>V2707151802001</v>
      </c>
      <c r="D391" s="16" t="s">
        <v>3033</v>
      </c>
      <c r="E391" s="16" t="s">
        <v>2957</v>
      </c>
      <c r="F391" s="19" t="s">
        <v>2958</v>
      </c>
      <c r="G391" s="16" t="s">
        <v>2959</v>
      </c>
      <c r="H391" s="16" t="s">
        <v>13</v>
      </c>
      <c r="I391" s="16">
        <v>2013</v>
      </c>
      <c r="J391" s="16" t="s">
        <v>3034</v>
      </c>
      <c r="K391" s="16" t="s">
        <v>774</v>
      </c>
      <c r="L391" s="16" t="s">
        <v>15</v>
      </c>
      <c r="M391" s="16" t="s">
        <v>3035</v>
      </c>
      <c r="N391" s="16"/>
      <c r="O391" s="16"/>
    </row>
    <row r="392" spans="1:15" x14ac:dyDescent="0.3">
      <c r="A392" s="16">
        <v>391</v>
      </c>
      <c r="B392" s="16" t="s">
        <v>1641</v>
      </c>
      <c r="C392" s="16" t="str">
        <f>"V2707151803001"</f>
        <v>V2707151803001</v>
      </c>
      <c r="D392" s="16" t="s">
        <v>3036</v>
      </c>
      <c r="E392" s="16" t="s">
        <v>2957</v>
      </c>
      <c r="F392" s="19" t="s">
        <v>2958</v>
      </c>
      <c r="G392" s="16" t="s">
        <v>2959</v>
      </c>
      <c r="H392" s="16" t="s">
        <v>13</v>
      </c>
      <c r="I392" s="16">
        <v>2013</v>
      </c>
      <c r="J392" s="16" t="s">
        <v>3037</v>
      </c>
      <c r="K392" s="16" t="s">
        <v>3038</v>
      </c>
      <c r="L392" s="16" t="s">
        <v>15</v>
      </c>
      <c r="M392" s="16" t="s">
        <v>3039</v>
      </c>
      <c r="N392" s="16"/>
      <c r="O392" s="16"/>
    </row>
    <row r="393" spans="1:15" x14ac:dyDescent="0.3">
      <c r="A393" s="16">
        <v>392</v>
      </c>
      <c r="B393" s="16" t="s">
        <v>1641</v>
      </c>
      <c r="C393" s="16" t="str">
        <f>"V2707151804001"</f>
        <v>V2707151804001</v>
      </c>
      <c r="D393" s="16" t="s">
        <v>3040</v>
      </c>
      <c r="E393" s="16" t="s">
        <v>2957</v>
      </c>
      <c r="F393" s="19" t="s">
        <v>2958</v>
      </c>
      <c r="G393" s="16" t="s">
        <v>2959</v>
      </c>
      <c r="H393" s="16" t="s">
        <v>13</v>
      </c>
      <c r="I393" s="16">
        <v>2013</v>
      </c>
      <c r="J393" s="16" t="s">
        <v>3041</v>
      </c>
      <c r="K393" s="16" t="s">
        <v>2985</v>
      </c>
      <c r="L393" s="16" t="s">
        <v>15</v>
      </c>
      <c r="M393" s="16" t="s">
        <v>3042</v>
      </c>
      <c r="N393" s="16"/>
      <c r="O393" s="16"/>
    </row>
    <row r="394" spans="1:15" x14ac:dyDescent="0.3">
      <c r="A394" s="16">
        <v>393</v>
      </c>
      <c r="B394" s="16" t="s">
        <v>1641</v>
      </c>
      <c r="C394" s="16" t="str">
        <f>"V2707151805001"</f>
        <v>V2707151805001</v>
      </c>
      <c r="D394" s="16" t="s">
        <v>3043</v>
      </c>
      <c r="E394" s="16" t="s">
        <v>2957</v>
      </c>
      <c r="F394" s="19" t="s">
        <v>2958</v>
      </c>
      <c r="G394" s="16" t="s">
        <v>2959</v>
      </c>
      <c r="H394" s="16" t="s">
        <v>13</v>
      </c>
      <c r="I394" s="16">
        <v>2013</v>
      </c>
      <c r="J394" s="16" t="s">
        <v>3044</v>
      </c>
      <c r="K394" s="16" t="s">
        <v>3038</v>
      </c>
      <c r="L394" s="16" t="s">
        <v>15</v>
      </c>
      <c r="M394" s="16" t="s">
        <v>3045</v>
      </c>
      <c r="N394" s="16"/>
      <c r="O394" s="16"/>
    </row>
    <row r="395" spans="1:15" x14ac:dyDescent="0.3">
      <c r="A395" s="16">
        <v>394</v>
      </c>
      <c r="B395" s="16" t="s">
        <v>1641</v>
      </c>
      <c r="C395" s="16" t="str">
        <f>"V2758874978001"</f>
        <v>V2758874978001</v>
      </c>
      <c r="D395" s="16" t="s">
        <v>3046</v>
      </c>
      <c r="E395" s="16" t="s">
        <v>3047</v>
      </c>
      <c r="F395" s="21">
        <v>9780071772341</v>
      </c>
      <c r="G395" s="16" t="s">
        <v>3048</v>
      </c>
      <c r="H395" s="16" t="s">
        <v>13</v>
      </c>
      <c r="I395" s="16">
        <v>2013</v>
      </c>
      <c r="J395" s="16" t="s">
        <v>3049</v>
      </c>
      <c r="K395" s="16" t="s">
        <v>3050</v>
      </c>
      <c r="L395" s="16" t="s">
        <v>15</v>
      </c>
      <c r="M395" s="16" t="s">
        <v>3051</v>
      </c>
      <c r="N395" s="16"/>
      <c r="O395" s="16"/>
    </row>
    <row r="396" spans="1:15" x14ac:dyDescent="0.3">
      <c r="A396" s="16">
        <v>395</v>
      </c>
      <c r="B396" s="16" t="s">
        <v>1641</v>
      </c>
      <c r="C396" s="16" t="str">
        <f>"V2758874979001"</f>
        <v>V2758874979001</v>
      </c>
      <c r="D396" s="16" t="s">
        <v>3052</v>
      </c>
      <c r="E396" s="16" t="s">
        <v>3047</v>
      </c>
      <c r="F396" s="21">
        <v>9780071772341</v>
      </c>
      <c r="G396" s="16" t="s">
        <v>3048</v>
      </c>
      <c r="H396" s="16" t="s">
        <v>13</v>
      </c>
      <c r="I396" s="16">
        <v>2013</v>
      </c>
      <c r="J396" s="16" t="s">
        <v>3053</v>
      </c>
      <c r="K396" s="16" t="s">
        <v>3054</v>
      </c>
      <c r="L396" s="16" t="s">
        <v>15</v>
      </c>
      <c r="M396" s="16" t="s">
        <v>3055</v>
      </c>
      <c r="N396" s="16"/>
      <c r="O396" s="16"/>
    </row>
    <row r="397" spans="1:15" x14ac:dyDescent="0.3">
      <c r="A397" s="16">
        <v>396</v>
      </c>
      <c r="B397" s="16" t="s">
        <v>1641</v>
      </c>
      <c r="C397" s="16" t="str">
        <f>"V2758874980001"</f>
        <v>V2758874980001</v>
      </c>
      <c r="D397" s="16" t="s">
        <v>3056</v>
      </c>
      <c r="E397" s="16" t="s">
        <v>3047</v>
      </c>
      <c r="F397" s="21">
        <v>9780071772341</v>
      </c>
      <c r="G397" s="16" t="s">
        <v>3048</v>
      </c>
      <c r="H397" s="16" t="s">
        <v>13</v>
      </c>
      <c r="I397" s="16">
        <v>2013</v>
      </c>
      <c r="J397" s="16" t="s">
        <v>3057</v>
      </c>
      <c r="K397" s="16" t="s">
        <v>3054</v>
      </c>
      <c r="L397" s="16" t="s">
        <v>15</v>
      </c>
      <c r="M397" s="16" t="s">
        <v>3058</v>
      </c>
      <c r="N397" s="16"/>
      <c r="O397" s="16"/>
    </row>
    <row r="398" spans="1:15" x14ac:dyDescent="0.3">
      <c r="A398" s="16">
        <v>397</v>
      </c>
      <c r="B398" s="16" t="s">
        <v>1641</v>
      </c>
      <c r="C398" s="16" t="str">
        <f>"V2758874981001"</f>
        <v>V2758874981001</v>
      </c>
      <c r="D398" s="16" t="s">
        <v>3059</v>
      </c>
      <c r="E398" s="16" t="s">
        <v>3047</v>
      </c>
      <c r="F398" s="21">
        <v>9780071772341</v>
      </c>
      <c r="G398" s="16" t="s">
        <v>3048</v>
      </c>
      <c r="H398" s="16" t="s">
        <v>13</v>
      </c>
      <c r="I398" s="16">
        <v>2013</v>
      </c>
      <c r="J398" s="16" t="s">
        <v>3060</v>
      </c>
      <c r="K398" s="16" t="s">
        <v>3061</v>
      </c>
      <c r="L398" s="16" t="s">
        <v>15</v>
      </c>
      <c r="M398" s="16" t="s">
        <v>3062</v>
      </c>
      <c r="N398" s="16"/>
      <c r="O398" s="16"/>
    </row>
    <row r="399" spans="1:15" x14ac:dyDescent="0.3">
      <c r="A399" s="16">
        <v>398</v>
      </c>
      <c r="B399" s="16" t="s">
        <v>1641</v>
      </c>
      <c r="C399" s="16" t="str">
        <f>"V2758874982001"</f>
        <v>V2758874982001</v>
      </c>
      <c r="D399" s="16" t="s">
        <v>3063</v>
      </c>
      <c r="E399" s="16" t="s">
        <v>3047</v>
      </c>
      <c r="F399" s="21">
        <v>9780071772341</v>
      </c>
      <c r="G399" s="16" t="s">
        <v>3048</v>
      </c>
      <c r="H399" s="16" t="s">
        <v>13</v>
      </c>
      <c r="I399" s="16">
        <v>2013</v>
      </c>
      <c r="J399" s="16" t="s">
        <v>3064</v>
      </c>
      <c r="K399" s="16" t="s">
        <v>3054</v>
      </c>
      <c r="L399" s="16" t="s">
        <v>15</v>
      </c>
      <c r="M399" s="16" t="s">
        <v>3065</v>
      </c>
      <c r="N399" s="16"/>
      <c r="O399" s="16"/>
    </row>
    <row r="400" spans="1:15" x14ac:dyDescent="0.3">
      <c r="A400" s="16">
        <v>399</v>
      </c>
      <c r="B400" s="16" t="s">
        <v>1641</v>
      </c>
      <c r="C400" s="16" t="str">
        <f>"V2758874983001"</f>
        <v>V2758874983001</v>
      </c>
      <c r="D400" s="16" t="s">
        <v>3066</v>
      </c>
      <c r="E400" s="16" t="s">
        <v>3047</v>
      </c>
      <c r="F400" s="21">
        <v>9780071772341</v>
      </c>
      <c r="G400" s="16" t="s">
        <v>3048</v>
      </c>
      <c r="H400" s="16" t="s">
        <v>13</v>
      </c>
      <c r="I400" s="16">
        <v>2013</v>
      </c>
      <c r="J400" s="16" t="s">
        <v>3067</v>
      </c>
      <c r="K400" s="16" t="s">
        <v>3054</v>
      </c>
      <c r="L400" s="16" t="s">
        <v>15</v>
      </c>
      <c r="M400" s="16" t="s">
        <v>3068</v>
      </c>
      <c r="N400" s="16"/>
      <c r="O400" s="16"/>
    </row>
    <row r="401" spans="1:15" x14ac:dyDescent="0.3">
      <c r="A401" s="16">
        <v>400</v>
      </c>
      <c r="B401" s="16" t="s">
        <v>1641</v>
      </c>
      <c r="C401" s="16" t="str">
        <f>"V2758874984001"</f>
        <v>V2758874984001</v>
      </c>
      <c r="D401" s="16" t="s">
        <v>3069</v>
      </c>
      <c r="E401" s="16" t="s">
        <v>3047</v>
      </c>
      <c r="F401" s="21">
        <v>9780071772341</v>
      </c>
      <c r="G401" s="16" t="s">
        <v>3048</v>
      </c>
      <c r="H401" s="16" t="s">
        <v>13</v>
      </c>
      <c r="I401" s="16">
        <v>2013</v>
      </c>
      <c r="J401" s="16" t="s">
        <v>3070</v>
      </c>
      <c r="K401" s="16" t="s">
        <v>3071</v>
      </c>
      <c r="L401" s="16" t="s">
        <v>15</v>
      </c>
      <c r="M401" s="16" t="s">
        <v>3072</v>
      </c>
      <c r="N401" s="16"/>
      <c r="O401" s="16"/>
    </row>
    <row r="402" spans="1:15" x14ac:dyDescent="0.3">
      <c r="A402" s="16">
        <v>401</v>
      </c>
      <c r="B402" s="16" t="s">
        <v>1641</v>
      </c>
      <c r="C402" s="16" t="str">
        <f>"V2758874985001"</f>
        <v>V2758874985001</v>
      </c>
      <c r="D402" s="16" t="s">
        <v>3073</v>
      </c>
      <c r="E402" s="16" t="s">
        <v>3047</v>
      </c>
      <c r="F402" s="21">
        <v>9780071772341</v>
      </c>
      <c r="G402" s="16" t="s">
        <v>3048</v>
      </c>
      <c r="H402" s="16" t="s">
        <v>13</v>
      </c>
      <c r="I402" s="16">
        <v>2013</v>
      </c>
      <c r="J402" s="16" t="s">
        <v>3074</v>
      </c>
      <c r="K402" s="16" t="s">
        <v>3071</v>
      </c>
      <c r="L402" s="16" t="s">
        <v>15</v>
      </c>
      <c r="M402" s="16" t="s">
        <v>3075</v>
      </c>
      <c r="N402" s="16"/>
      <c r="O402" s="16"/>
    </row>
    <row r="403" spans="1:15" x14ac:dyDescent="0.3">
      <c r="A403" s="16">
        <v>402</v>
      </c>
      <c r="B403" s="16" t="s">
        <v>1641</v>
      </c>
      <c r="C403" s="16" t="str">
        <f>"V2758874986001"</f>
        <v>V2758874986001</v>
      </c>
      <c r="D403" s="16" t="s">
        <v>3076</v>
      </c>
      <c r="E403" s="16" t="s">
        <v>3047</v>
      </c>
      <c r="F403" s="21">
        <v>9780071772341</v>
      </c>
      <c r="G403" s="16" t="s">
        <v>3048</v>
      </c>
      <c r="H403" s="16" t="s">
        <v>13</v>
      </c>
      <c r="I403" s="16">
        <v>2013</v>
      </c>
      <c r="J403" s="16" t="s">
        <v>3077</v>
      </c>
      <c r="K403" s="16" t="s">
        <v>3071</v>
      </c>
      <c r="L403" s="16" t="s">
        <v>15</v>
      </c>
      <c r="M403" s="16" t="s">
        <v>3078</v>
      </c>
      <c r="N403" s="16"/>
      <c r="O403" s="16"/>
    </row>
    <row r="404" spans="1:15" x14ac:dyDescent="0.3">
      <c r="A404" s="16">
        <v>403</v>
      </c>
      <c r="B404" s="16" t="s">
        <v>1641</v>
      </c>
      <c r="C404" s="16" t="str">
        <f>"V2758874987001"</f>
        <v>V2758874987001</v>
      </c>
      <c r="D404" s="16" t="s">
        <v>3079</v>
      </c>
      <c r="E404" s="16" t="s">
        <v>3047</v>
      </c>
      <c r="F404" s="21">
        <v>9780071772341</v>
      </c>
      <c r="G404" s="16" t="s">
        <v>3048</v>
      </c>
      <c r="H404" s="16" t="s">
        <v>13</v>
      </c>
      <c r="I404" s="16">
        <v>2013</v>
      </c>
      <c r="J404" s="16" t="s">
        <v>3080</v>
      </c>
      <c r="K404" s="16" t="s">
        <v>3071</v>
      </c>
      <c r="L404" s="16" t="s">
        <v>15</v>
      </c>
      <c r="M404" s="16" t="s">
        <v>3081</v>
      </c>
      <c r="N404" s="16"/>
      <c r="O404" s="16"/>
    </row>
    <row r="405" spans="1:15" x14ac:dyDescent="0.3">
      <c r="A405" s="16">
        <v>404</v>
      </c>
      <c r="B405" s="16" t="s">
        <v>1641</v>
      </c>
      <c r="C405" s="16" t="str">
        <f>"V2758874988001"</f>
        <v>V2758874988001</v>
      </c>
      <c r="D405" s="16" t="s">
        <v>3082</v>
      </c>
      <c r="E405" s="16" t="s">
        <v>3047</v>
      </c>
      <c r="F405" s="21">
        <v>9780071772341</v>
      </c>
      <c r="G405" s="16" t="s">
        <v>3048</v>
      </c>
      <c r="H405" s="16" t="s">
        <v>13</v>
      </c>
      <c r="I405" s="16">
        <v>2013</v>
      </c>
      <c r="J405" s="16" t="s">
        <v>3083</v>
      </c>
      <c r="K405" s="16" t="s">
        <v>3071</v>
      </c>
      <c r="L405" s="16" t="s">
        <v>15</v>
      </c>
      <c r="M405" s="16" t="s">
        <v>3084</v>
      </c>
      <c r="N405" s="16"/>
      <c r="O405" s="16"/>
    </row>
    <row r="406" spans="1:15" x14ac:dyDescent="0.3">
      <c r="A406" s="16">
        <v>405</v>
      </c>
      <c r="B406" s="16" t="s">
        <v>1641</v>
      </c>
      <c r="C406" s="16" t="str">
        <f>"V2758874989001"</f>
        <v>V2758874989001</v>
      </c>
      <c r="D406" s="16" t="s">
        <v>3085</v>
      </c>
      <c r="E406" s="16" t="s">
        <v>3047</v>
      </c>
      <c r="F406" s="21">
        <v>9780071772341</v>
      </c>
      <c r="G406" s="16" t="s">
        <v>3048</v>
      </c>
      <c r="H406" s="16" t="s">
        <v>13</v>
      </c>
      <c r="I406" s="16">
        <v>2013</v>
      </c>
      <c r="J406" s="16" t="s">
        <v>3086</v>
      </c>
      <c r="K406" s="16" t="s">
        <v>3071</v>
      </c>
      <c r="L406" s="16" t="s">
        <v>15</v>
      </c>
      <c r="M406" s="16" t="s">
        <v>3087</v>
      </c>
      <c r="N406" s="16"/>
      <c r="O406" s="16"/>
    </row>
    <row r="407" spans="1:15" x14ac:dyDescent="0.3">
      <c r="A407" s="16">
        <v>406</v>
      </c>
      <c r="B407" s="16" t="s">
        <v>1641</v>
      </c>
      <c r="C407" s="16" t="str">
        <f>"V2758874990001"</f>
        <v>V2758874990001</v>
      </c>
      <c r="D407" s="16" t="s">
        <v>3088</v>
      </c>
      <c r="E407" s="16" t="s">
        <v>3047</v>
      </c>
      <c r="F407" s="21">
        <v>9780071772341</v>
      </c>
      <c r="G407" s="16" t="s">
        <v>3048</v>
      </c>
      <c r="H407" s="16" t="s">
        <v>13</v>
      </c>
      <c r="I407" s="16">
        <v>2013</v>
      </c>
      <c r="J407" s="16" t="s">
        <v>3089</v>
      </c>
      <c r="K407" s="16" t="s">
        <v>1711</v>
      </c>
      <c r="L407" s="16" t="s">
        <v>15</v>
      </c>
      <c r="M407" s="16" t="s">
        <v>3090</v>
      </c>
      <c r="N407" s="16"/>
      <c r="O407" s="16"/>
    </row>
    <row r="408" spans="1:15" x14ac:dyDescent="0.3">
      <c r="A408" s="16">
        <v>407</v>
      </c>
      <c r="B408" s="16" t="s">
        <v>1641</v>
      </c>
      <c r="C408" s="16" t="str">
        <f>"V2758874991001"</f>
        <v>V2758874991001</v>
      </c>
      <c r="D408" s="16" t="s">
        <v>3091</v>
      </c>
      <c r="E408" s="16" t="s">
        <v>3047</v>
      </c>
      <c r="F408" s="21">
        <v>9780071772341</v>
      </c>
      <c r="G408" s="16" t="s">
        <v>3048</v>
      </c>
      <c r="H408" s="16" t="s">
        <v>13</v>
      </c>
      <c r="I408" s="16">
        <v>2013</v>
      </c>
      <c r="J408" s="16" t="s">
        <v>3092</v>
      </c>
      <c r="K408" s="16" t="s">
        <v>3093</v>
      </c>
      <c r="L408" s="16" t="s">
        <v>15</v>
      </c>
      <c r="M408" s="16" t="s">
        <v>3094</v>
      </c>
      <c r="N408" s="16"/>
      <c r="O408" s="16"/>
    </row>
    <row r="409" spans="1:15" x14ac:dyDescent="0.3">
      <c r="A409" s="16">
        <v>408</v>
      </c>
      <c r="B409" s="16" t="s">
        <v>1641</v>
      </c>
      <c r="C409" s="16" t="str">
        <f>"V2758874992001"</f>
        <v>V2758874992001</v>
      </c>
      <c r="D409" s="16" t="s">
        <v>3095</v>
      </c>
      <c r="E409" s="16" t="s">
        <v>3047</v>
      </c>
      <c r="F409" s="21">
        <v>9780071772341</v>
      </c>
      <c r="G409" s="16" t="s">
        <v>3048</v>
      </c>
      <c r="H409" s="16" t="s">
        <v>13</v>
      </c>
      <c r="I409" s="16">
        <v>2013</v>
      </c>
      <c r="J409" s="16" t="s">
        <v>3096</v>
      </c>
      <c r="K409" s="16" t="s">
        <v>1711</v>
      </c>
      <c r="L409" s="16" t="s">
        <v>15</v>
      </c>
      <c r="M409" s="16" t="s">
        <v>3097</v>
      </c>
      <c r="N409" s="16"/>
      <c r="O409" s="16"/>
    </row>
    <row r="410" spans="1:15" x14ac:dyDescent="0.3">
      <c r="A410" s="16">
        <v>409</v>
      </c>
      <c r="B410" s="16" t="s">
        <v>1641</v>
      </c>
      <c r="C410" s="16" t="str">
        <f>"V2812434215001"</f>
        <v>V2812434215001</v>
      </c>
      <c r="D410" s="16" t="s">
        <v>3098</v>
      </c>
      <c r="E410" s="16" t="s">
        <v>3099</v>
      </c>
      <c r="F410" s="21">
        <v>9780071458863</v>
      </c>
      <c r="G410" s="16" t="s">
        <v>3100</v>
      </c>
      <c r="H410" s="16" t="s">
        <v>13</v>
      </c>
      <c r="I410" s="16">
        <v>2013</v>
      </c>
      <c r="J410" s="16" t="s">
        <v>3101</v>
      </c>
      <c r="K410" s="16" t="s">
        <v>3102</v>
      </c>
      <c r="L410" s="16" t="s">
        <v>15</v>
      </c>
      <c r="M410" s="16" t="s">
        <v>3103</v>
      </c>
      <c r="N410" s="16"/>
      <c r="O410" s="16"/>
    </row>
    <row r="411" spans="1:15" x14ac:dyDescent="0.3">
      <c r="A411" s="16">
        <v>410</v>
      </c>
      <c r="B411" s="16" t="s">
        <v>1641</v>
      </c>
      <c r="C411" s="16" t="str">
        <f>"V2812434216001"</f>
        <v>V2812434216001</v>
      </c>
      <c r="D411" s="16" t="s">
        <v>3104</v>
      </c>
      <c r="E411" s="16" t="s">
        <v>3099</v>
      </c>
      <c r="F411" s="21">
        <v>9780071458863</v>
      </c>
      <c r="G411" s="16" t="s">
        <v>3100</v>
      </c>
      <c r="H411" s="16" t="s">
        <v>13</v>
      </c>
      <c r="I411" s="16">
        <v>2013</v>
      </c>
      <c r="J411" s="16" t="s">
        <v>3105</v>
      </c>
      <c r="K411" s="16" t="s">
        <v>3106</v>
      </c>
      <c r="L411" s="16" t="s">
        <v>15</v>
      </c>
      <c r="M411" s="16" t="s">
        <v>3107</v>
      </c>
      <c r="N411" s="16"/>
      <c r="O411" s="16"/>
    </row>
    <row r="412" spans="1:15" x14ac:dyDescent="0.3">
      <c r="A412" s="16">
        <v>411</v>
      </c>
      <c r="B412" s="16" t="s">
        <v>1641</v>
      </c>
      <c r="C412" s="16" t="str">
        <f>"V2812434217001"</f>
        <v>V2812434217001</v>
      </c>
      <c r="D412" s="16" t="s">
        <v>3108</v>
      </c>
      <c r="E412" s="16" t="s">
        <v>3099</v>
      </c>
      <c r="F412" s="21">
        <v>9780071458863</v>
      </c>
      <c r="G412" s="16" t="s">
        <v>3100</v>
      </c>
      <c r="H412" s="16" t="s">
        <v>13</v>
      </c>
      <c r="I412" s="16">
        <v>2013</v>
      </c>
      <c r="J412" s="16" t="s">
        <v>3109</v>
      </c>
      <c r="K412" s="16" t="s">
        <v>38</v>
      </c>
      <c r="L412" s="16" t="s">
        <v>15</v>
      </c>
      <c r="M412" s="16" t="s">
        <v>3110</v>
      </c>
      <c r="N412" s="16"/>
      <c r="O412" s="16"/>
    </row>
    <row r="413" spans="1:15" x14ac:dyDescent="0.3">
      <c r="A413" s="16">
        <v>412</v>
      </c>
      <c r="B413" s="16" t="s">
        <v>1641</v>
      </c>
      <c r="C413" s="16" t="str">
        <f>"V2812434218001"</f>
        <v>V2812434218001</v>
      </c>
      <c r="D413" s="16" t="s">
        <v>3111</v>
      </c>
      <c r="E413" s="16" t="s">
        <v>3099</v>
      </c>
      <c r="F413" s="21">
        <v>9780071458863</v>
      </c>
      <c r="G413" s="16" t="s">
        <v>3100</v>
      </c>
      <c r="H413" s="16" t="s">
        <v>13</v>
      </c>
      <c r="I413" s="16">
        <v>2013</v>
      </c>
      <c r="J413" s="16" t="s">
        <v>3112</v>
      </c>
      <c r="K413" s="16" t="s">
        <v>3106</v>
      </c>
      <c r="L413" s="16" t="s">
        <v>15</v>
      </c>
      <c r="M413" s="16" t="s">
        <v>3113</v>
      </c>
      <c r="N413" s="16"/>
      <c r="O413" s="16"/>
    </row>
    <row r="414" spans="1:15" x14ac:dyDescent="0.3">
      <c r="A414" s="16">
        <v>413</v>
      </c>
      <c r="B414" s="16" t="s">
        <v>1641</v>
      </c>
      <c r="C414" s="16" t="str">
        <f>"V2812434219001"</f>
        <v>V2812434219001</v>
      </c>
      <c r="D414" s="16" t="s">
        <v>3114</v>
      </c>
      <c r="E414" s="16" t="s">
        <v>3099</v>
      </c>
      <c r="F414" s="21">
        <v>9780071458863</v>
      </c>
      <c r="G414" s="16" t="s">
        <v>3100</v>
      </c>
      <c r="H414" s="16" t="s">
        <v>13</v>
      </c>
      <c r="I414" s="16">
        <v>2013</v>
      </c>
      <c r="J414" s="16" t="s">
        <v>3115</v>
      </c>
      <c r="K414" s="16" t="s">
        <v>540</v>
      </c>
      <c r="L414" s="16" t="s">
        <v>15</v>
      </c>
      <c r="M414" s="16" t="s">
        <v>3116</v>
      </c>
      <c r="N414" s="16"/>
      <c r="O414" s="16"/>
    </row>
    <row r="415" spans="1:15" x14ac:dyDescent="0.3">
      <c r="A415" s="16">
        <v>414</v>
      </c>
      <c r="B415" s="16" t="s">
        <v>1641</v>
      </c>
      <c r="C415" s="16" t="str">
        <f>"V2812434220001"</f>
        <v>V2812434220001</v>
      </c>
      <c r="D415" s="16" t="s">
        <v>3117</v>
      </c>
      <c r="E415" s="16" t="s">
        <v>3099</v>
      </c>
      <c r="F415" s="21">
        <v>9780071458863</v>
      </c>
      <c r="G415" s="16" t="s">
        <v>3100</v>
      </c>
      <c r="H415" s="16" t="s">
        <v>13</v>
      </c>
      <c r="I415" s="16">
        <v>2013</v>
      </c>
      <c r="J415" s="16" t="s">
        <v>3118</v>
      </c>
      <c r="K415" s="16" t="s">
        <v>3119</v>
      </c>
      <c r="L415" s="16" t="s">
        <v>15</v>
      </c>
      <c r="M415" s="16" t="s">
        <v>3120</v>
      </c>
      <c r="N415" s="16"/>
      <c r="O415" s="16"/>
    </row>
    <row r="416" spans="1:15" x14ac:dyDescent="0.3">
      <c r="A416" s="16">
        <v>415</v>
      </c>
      <c r="B416" s="16" t="s">
        <v>1641</v>
      </c>
      <c r="C416" s="16" t="str">
        <f>"V2812434221001"</f>
        <v>V2812434221001</v>
      </c>
      <c r="D416" s="16" t="s">
        <v>3121</v>
      </c>
      <c r="E416" s="16" t="s">
        <v>3099</v>
      </c>
      <c r="F416" s="21">
        <v>9780071458863</v>
      </c>
      <c r="G416" s="16" t="s">
        <v>3100</v>
      </c>
      <c r="H416" s="16" t="s">
        <v>13</v>
      </c>
      <c r="I416" s="16">
        <v>2013</v>
      </c>
      <c r="J416" s="16" t="s">
        <v>3122</v>
      </c>
      <c r="K416" s="16" t="s">
        <v>3123</v>
      </c>
      <c r="L416" s="16" t="s">
        <v>15</v>
      </c>
      <c r="M416" s="16" t="s">
        <v>3124</v>
      </c>
      <c r="N416" s="16"/>
      <c r="O416" s="16"/>
    </row>
    <row r="417" spans="1:15" x14ac:dyDescent="0.3">
      <c r="A417" s="16">
        <v>416</v>
      </c>
      <c r="B417" s="16" t="s">
        <v>1641</v>
      </c>
      <c r="C417" s="16" t="str">
        <f>"V2812434222001"</f>
        <v>V2812434222001</v>
      </c>
      <c r="D417" s="16" t="s">
        <v>3125</v>
      </c>
      <c r="E417" s="16" t="s">
        <v>3099</v>
      </c>
      <c r="F417" s="21">
        <v>9780071458863</v>
      </c>
      <c r="G417" s="16" t="s">
        <v>3100</v>
      </c>
      <c r="H417" s="16" t="s">
        <v>13</v>
      </c>
      <c r="I417" s="16">
        <v>2013</v>
      </c>
      <c r="J417" s="16" t="s">
        <v>3126</v>
      </c>
      <c r="K417" s="16" t="s">
        <v>1954</v>
      </c>
      <c r="L417" s="16" t="s">
        <v>15</v>
      </c>
      <c r="M417" s="16" t="s">
        <v>3127</v>
      </c>
      <c r="N417" s="16"/>
      <c r="O417" s="16"/>
    </row>
    <row r="418" spans="1:15" x14ac:dyDescent="0.3">
      <c r="A418" s="16">
        <v>417</v>
      </c>
      <c r="B418" s="16" t="s">
        <v>1641</v>
      </c>
      <c r="C418" s="16" t="str">
        <f>"V2812434223001"</f>
        <v>V2812434223001</v>
      </c>
      <c r="D418" s="16" t="s">
        <v>3128</v>
      </c>
      <c r="E418" s="16" t="s">
        <v>3099</v>
      </c>
      <c r="F418" s="21">
        <v>9780071458863</v>
      </c>
      <c r="G418" s="16" t="s">
        <v>3100</v>
      </c>
      <c r="H418" s="16" t="s">
        <v>13</v>
      </c>
      <c r="I418" s="16">
        <v>2013</v>
      </c>
      <c r="J418" s="16" t="s">
        <v>3129</v>
      </c>
      <c r="K418" s="16" t="s">
        <v>3123</v>
      </c>
      <c r="L418" s="16" t="s">
        <v>15</v>
      </c>
      <c r="M418" s="16" t="s">
        <v>3130</v>
      </c>
      <c r="N418" s="16"/>
      <c r="O418" s="16"/>
    </row>
    <row r="419" spans="1:15" x14ac:dyDescent="0.3">
      <c r="A419" s="16">
        <v>418</v>
      </c>
      <c r="B419" s="16" t="s">
        <v>1641</v>
      </c>
      <c r="C419" s="16" t="str">
        <f>"V2812434224001"</f>
        <v>V2812434224001</v>
      </c>
      <c r="D419" s="16" t="s">
        <v>3131</v>
      </c>
      <c r="E419" s="16" t="s">
        <v>3099</v>
      </c>
      <c r="F419" s="21">
        <v>9780071458863</v>
      </c>
      <c r="G419" s="16" t="s">
        <v>3100</v>
      </c>
      <c r="H419" s="16" t="s">
        <v>13</v>
      </c>
      <c r="I419" s="16">
        <v>2013</v>
      </c>
      <c r="J419" s="16" t="s">
        <v>3132</v>
      </c>
      <c r="K419" s="16" t="s">
        <v>3133</v>
      </c>
      <c r="L419" s="16" t="s">
        <v>15</v>
      </c>
      <c r="M419" s="16" t="s">
        <v>3134</v>
      </c>
      <c r="N419" s="16"/>
      <c r="O419" s="16"/>
    </row>
    <row r="420" spans="1:15" x14ac:dyDescent="0.3">
      <c r="A420" s="16">
        <v>419</v>
      </c>
      <c r="B420" s="16" t="s">
        <v>1641</v>
      </c>
      <c r="C420" s="16" t="str">
        <f>"V2812434225001"</f>
        <v>V2812434225001</v>
      </c>
      <c r="D420" s="16" t="s">
        <v>3135</v>
      </c>
      <c r="E420" s="16" t="s">
        <v>3099</v>
      </c>
      <c r="F420" s="21">
        <v>9780071458863</v>
      </c>
      <c r="G420" s="16" t="s">
        <v>3100</v>
      </c>
      <c r="H420" s="16" t="s">
        <v>13</v>
      </c>
      <c r="I420" s="16">
        <v>2013</v>
      </c>
      <c r="J420" s="16" t="s">
        <v>3136</v>
      </c>
      <c r="K420" s="16" t="s">
        <v>3137</v>
      </c>
      <c r="L420" s="16" t="s">
        <v>15</v>
      </c>
      <c r="M420" s="16" t="s">
        <v>3138</v>
      </c>
      <c r="N420" s="16"/>
      <c r="O420" s="16"/>
    </row>
    <row r="421" spans="1:15" x14ac:dyDescent="0.3">
      <c r="A421" s="16">
        <v>420</v>
      </c>
      <c r="B421" s="16" t="s">
        <v>1641</v>
      </c>
      <c r="C421" s="16" t="str">
        <f>"V2812434226001"</f>
        <v>V2812434226001</v>
      </c>
      <c r="D421" s="16" t="s">
        <v>3139</v>
      </c>
      <c r="E421" s="16" t="s">
        <v>3099</v>
      </c>
      <c r="F421" s="21">
        <v>9780071458863</v>
      </c>
      <c r="G421" s="16" t="s">
        <v>3100</v>
      </c>
      <c r="H421" s="16" t="s">
        <v>13</v>
      </c>
      <c r="I421" s="16">
        <v>2013</v>
      </c>
      <c r="J421" s="16" t="s">
        <v>3140</v>
      </c>
      <c r="K421" s="16" t="s">
        <v>3141</v>
      </c>
      <c r="L421" s="16" t="s">
        <v>15</v>
      </c>
      <c r="M421" s="16" t="s">
        <v>3142</v>
      </c>
      <c r="N421" s="16"/>
      <c r="O421" s="16"/>
    </row>
    <row r="422" spans="1:15" x14ac:dyDescent="0.3">
      <c r="A422" s="16">
        <v>421</v>
      </c>
      <c r="B422" s="16" t="s">
        <v>1641</v>
      </c>
      <c r="C422" s="16" t="str">
        <f>"V2812434227001"</f>
        <v>V2812434227001</v>
      </c>
      <c r="D422" s="16" t="s">
        <v>3143</v>
      </c>
      <c r="E422" s="16" t="s">
        <v>3099</v>
      </c>
      <c r="F422" s="21">
        <v>9780071458863</v>
      </c>
      <c r="G422" s="16" t="s">
        <v>3100</v>
      </c>
      <c r="H422" s="16" t="s">
        <v>13</v>
      </c>
      <c r="I422" s="16">
        <v>2013</v>
      </c>
      <c r="J422" s="16" t="s">
        <v>3144</v>
      </c>
      <c r="K422" s="16" t="s">
        <v>3145</v>
      </c>
      <c r="L422" s="16" t="s">
        <v>15</v>
      </c>
      <c r="M422" s="16" t="s">
        <v>3146</v>
      </c>
      <c r="N422" s="16"/>
      <c r="O422" s="16"/>
    </row>
    <row r="423" spans="1:15" x14ac:dyDescent="0.3">
      <c r="A423" s="16">
        <v>422</v>
      </c>
      <c r="B423" s="16" t="s">
        <v>1641</v>
      </c>
      <c r="C423" s="16" t="str">
        <f>"V2812434228001"</f>
        <v>V2812434228001</v>
      </c>
      <c r="D423" s="16" t="s">
        <v>3147</v>
      </c>
      <c r="E423" s="16" t="s">
        <v>3099</v>
      </c>
      <c r="F423" s="21">
        <v>9780071458863</v>
      </c>
      <c r="G423" s="16" t="s">
        <v>3100</v>
      </c>
      <c r="H423" s="16" t="s">
        <v>13</v>
      </c>
      <c r="I423" s="16">
        <v>2013</v>
      </c>
      <c r="J423" s="16" t="s">
        <v>3148</v>
      </c>
      <c r="K423" s="16" t="s">
        <v>3145</v>
      </c>
      <c r="L423" s="16" t="s">
        <v>15</v>
      </c>
      <c r="M423" s="16" t="s">
        <v>3149</v>
      </c>
      <c r="N423" s="16"/>
      <c r="O423" s="16"/>
    </row>
    <row r="424" spans="1:15" x14ac:dyDescent="0.3">
      <c r="A424" s="16">
        <v>423</v>
      </c>
      <c r="B424" s="16" t="s">
        <v>1641</v>
      </c>
      <c r="C424" s="16" t="str">
        <f>"V2812434229001"</f>
        <v>V2812434229001</v>
      </c>
      <c r="D424" s="16" t="s">
        <v>3150</v>
      </c>
      <c r="E424" s="16" t="s">
        <v>3099</v>
      </c>
      <c r="F424" s="21">
        <v>9780071458863</v>
      </c>
      <c r="G424" s="16" t="s">
        <v>3100</v>
      </c>
      <c r="H424" s="16" t="s">
        <v>13</v>
      </c>
      <c r="I424" s="16">
        <v>2013</v>
      </c>
      <c r="J424" s="16" t="s">
        <v>3151</v>
      </c>
      <c r="K424" s="16" t="s">
        <v>3152</v>
      </c>
      <c r="L424" s="16" t="s">
        <v>15</v>
      </c>
      <c r="M424" s="16" t="s">
        <v>3153</v>
      </c>
      <c r="N424" s="16"/>
      <c r="O424" s="16"/>
    </row>
    <row r="425" spans="1:15" x14ac:dyDescent="0.3">
      <c r="A425" s="16">
        <v>424</v>
      </c>
      <c r="B425" s="16" t="s">
        <v>1641</v>
      </c>
      <c r="C425" s="16" t="str">
        <f>"V2928693102001"</f>
        <v>V2928693102001</v>
      </c>
      <c r="D425" s="16" t="s">
        <v>3154</v>
      </c>
      <c r="E425" s="16" t="s">
        <v>3155</v>
      </c>
      <c r="F425" s="21">
        <v>9780071829489</v>
      </c>
      <c r="G425" s="16" t="s">
        <v>2022</v>
      </c>
      <c r="H425" s="16" t="s">
        <v>13</v>
      </c>
      <c r="I425" s="16">
        <v>2013</v>
      </c>
      <c r="J425" s="16" t="s">
        <v>3156</v>
      </c>
      <c r="K425" s="16" t="s">
        <v>147</v>
      </c>
      <c r="L425" s="16" t="s">
        <v>15</v>
      </c>
      <c r="M425" s="16" t="s">
        <v>3157</v>
      </c>
      <c r="N425" s="16"/>
      <c r="O425" s="16"/>
    </row>
    <row r="426" spans="1:15" x14ac:dyDescent="0.3">
      <c r="A426" s="16">
        <v>425</v>
      </c>
      <c r="B426" s="16" t="s">
        <v>1641</v>
      </c>
      <c r="C426" s="16" t="str">
        <f>"V2928693103001"</f>
        <v>V2928693103001</v>
      </c>
      <c r="D426" s="16" t="s">
        <v>3158</v>
      </c>
      <c r="E426" s="16" t="s">
        <v>3155</v>
      </c>
      <c r="F426" s="21">
        <v>9780071829489</v>
      </c>
      <c r="G426" s="16" t="s">
        <v>2022</v>
      </c>
      <c r="H426" s="16" t="s">
        <v>13</v>
      </c>
      <c r="I426" s="16">
        <v>2013</v>
      </c>
      <c r="J426" s="16" t="s">
        <v>3159</v>
      </c>
      <c r="K426" s="16" t="s">
        <v>2090</v>
      </c>
      <c r="L426" s="16" t="s">
        <v>15</v>
      </c>
      <c r="M426" s="16" t="s">
        <v>3160</v>
      </c>
      <c r="N426" s="16"/>
      <c r="O426" s="16"/>
    </row>
    <row r="427" spans="1:15" x14ac:dyDescent="0.3">
      <c r="A427" s="16">
        <v>426</v>
      </c>
      <c r="B427" s="16" t="s">
        <v>1641</v>
      </c>
      <c r="C427" s="16" t="str">
        <f>"V2928693104001"</f>
        <v>V2928693104001</v>
      </c>
      <c r="D427" s="16" t="s">
        <v>3161</v>
      </c>
      <c r="E427" s="16" t="s">
        <v>3155</v>
      </c>
      <c r="F427" s="21">
        <v>9780071829489</v>
      </c>
      <c r="G427" s="16" t="s">
        <v>2022</v>
      </c>
      <c r="H427" s="16" t="s">
        <v>13</v>
      </c>
      <c r="I427" s="16">
        <v>2013</v>
      </c>
      <c r="J427" s="16" t="s">
        <v>3162</v>
      </c>
      <c r="K427" s="16" t="s">
        <v>2090</v>
      </c>
      <c r="L427" s="16" t="s">
        <v>15</v>
      </c>
      <c r="M427" s="16" t="s">
        <v>3163</v>
      </c>
      <c r="N427" s="16"/>
      <c r="O427" s="16"/>
    </row>
    <row r="428" spans="1:15" x14ac:dyDescent="0.3">
      <c r="A428" s="16">
        <v>427</v>
      </c>
      <c r="B428" s="16" t="s">
        <v>1641</v>
      </c>
      <c r="C428" s="16" t="str">
        <f>"V2928693105001"</f>
        <v>V2928693105001</v>
      </c>
      <c r="D428" s="16" t="s">
        <v>3164</v>
      </c>
      <c r="E428" s="16" t="s">
        <v>3155</v>
      </c>
      <c r="F428" s="21">
        <v>9780071829489</v>
      </c>
      <c r="G428" s="16" t="s">
        <v>2022</v>
      </c>
      <c r="H428" s="16" t="s">
        <v>13</v>
      </c>
      <c r="I428" s="16">
        <v>2013</v>
      </c>
      <c r="J428" s="16" t="s">
        <v>3165</v>
      </c>
      <c r="K428" s="16" t="s">
        <v>2042</v>
      </c>
      <c r="L428" s="16" t="s">
        <v>15</v>
      </c>
      <c r="M428" s="16" t="s">
        <v>3166</v>
      </c>
      <c r="N428" s="16"/>
      <c r="O428" s="16"/>
    </row>
    <row r="429" spans="1:15" x14ac:dyDescent="0.3">
      <c r="A429" s="16">
        <v>428</v>
      </c>
      <c r="B429" s="16" t="s">
        <v>1641</v>
      </c>
      <c r="C429" s="16" t="str">
        <f>"V2928693106001"</f>
        <v>V2928693106001</v>
      </c>
      <c r="D429" s="16" t="s">
        <v>3167</v>
      </c>
      <c r="E429" s="16" t="s">
        <v>3155</v>
      </c>
      <c r="F429" s="21">
        <v>9780071829489</v>
      </c>
      <c r="G429" s="16" t="s">
        <v>2022</v>
      </c>
      <c r="H429" s="16" t="s">
        <v>13</v>
      </c>
      <c r="I429" s="16">
        <v>2013</v>
      </c>
      <c r="J429" s="16" t="s">
        <v>3168</v>
      </c>
      <c r="K429" s="16" t="s">
        <v>1002</v>
      </c>
      <c r="L429" s="16" t="s">
        <v>15</v>
      </c>
      <c r="M429" s="16" t="s">
        <v>3169</v>
      </c>
      <c r="N429" s="16"/>
      <c r="O429" s="16"/>
    </row>
    <row r="430" spans="1:15" x14ac:dyDescent="0.3">
      <c r="A430" s="16">
        <v>429</v>
      </c>
      <c r="B430" s="16" t="s">
        <v>1641</v>
      </c>
      <c r="C430" s="16" t="str">
        <f>"V2928693107001"</f>
        <v>V2928693107001</v>
      </c>
      <c r="D430" s="16" t="s">
        <v>3170</v>
      </c>
      <c r="E430" s="16" t="s">
        <v>3155</v>
      </c>
      <c r="F430" s="21">
        <v>9780071829489</v>
      </c>
      <c r="G430" s="16" t="s">
        <v>2022</v>
      </c>
      <c r="H430" s="16" t="s">
        <v>13</v>
      </c>
      <c r="I430" s="16">
        <v>2013</v>
      </c>
      <c r="J430" s="16" t="s">
        <v>3171</v>
      </c>
      <c r="K430" s="16" t="s">
        <v>3172</v>
      </c>
      <c r="L430" s="16" t="s">
        <v>15</v>
      </c>
      <c r="M430" s="16" t="s">
        <v>3173</v>
      </c>
      <c r="N430" s="16"/>
      <c r="O430" s="16"/>
    </row>
    <row r="431" spans="1:15" x14ac:dyDescent="0.3">
      <c r="A431" s="16">
        <v>430</v>
      </c>
      <c r="B431" s="16" t="s">
        <v>1641</v>
      </c>
      <c r="C431" s="16" t="str">
        <f>"V2928693108001"</f>
        <v>V2928693108001</v>
      </c>
      <c r="D431" s="16" t="s">
        <v>3174</v>
      </c>
      <c r="E431" s="16" t="s">
        <v>3155</v>
      </c>
      <c r="F431" s="21">
        <v>9780071829489</v>
      </c>
      <c r="G431" s="16" t="s">
        <v>2022</v>
      </c>
      <c r="H431" s="16" t="s">
        <v>13</v>
      </c>
      <c r="I431" s="16">
        <v>2013</v>
      </c>
      <c r="J431" s="16" t="s">
        <v>3175</v>
      </c>
      <c r="K431" s="16" t="s">
        <v>2094</v>
      </c>
      <c r="L431" s="16" t="s">
        <v>15</v>
      </c>
      <c r="M431" s="16" t="s">
        <v>3176</v>
      </c>
      <c r="N431" s="16"/>
      <c r="O431" s="16"/>
    </row>
    <row r="432" spans="1:15" x14ac:dyDescent="0.3">
      <c r="A432" s="16">
        <v>431</v>
      </c>
      <c r="B432" s="16" t="s">
        <v>1641</v>
      </c>
      <c r="C432" s="16" t="str">
        <f>"V2928693109001"</f>
        <v>V2928693109001</v>
      </c>
      <c r="D432" s="16" t="s">
        <v>3177</v>
      </c>
      <c r="E432" s="16" t="s">
        <v>3155</v>
      </c>
      <c r="F432" s="21">
        <v>9780071829489</v>
      </c>
      <c r="G432" s="16" t="s">
        <v>2022</v>
      </c>
      <c r="H432" s="16" t="s">
        <v>13</v>
      </c>
      <c r="I432" s="16">
        <v>2013</v>
      </c>
      <c r="J432" s="16" t="s">
        <v>3178</v>
      </c>
      <c r="K432" s="16" t="s">
        <v>2090</v>
      </c>
      <c r="L432" s="16" t="s">
        <v>15</v>
      </c>
      <c r="M432" s="16" t="s">
        <v>3179</v>
      </c>
      <c r="N432" s="16"/>
      <c r="O432" s="16"/>
    </row>
    <row r="433" spans="1:15" x14ac:dyDescent="0.3">
      <c r="A433" s="16">
        <v>432</v>
      </c>
      <c r="B433" s="16" t="s">
        <v>1641</v>
      </c>
      <c r="C433" s="16" t="str">
        <f>"V2928693110001"</f>
        <v>V2928693110001</v>
      </c>
      <c r="D433" s="16" t="s">
        <v>3180</v>
      </c>
      <c r="E433" s="16" t="s">
        <v>3155</v>
      </c>
      <c r="F433" s="21">
        <v>9780071829489</v>
      </c>
      <c r="G433" s="16" t="s">
        <v>2022</v>
      </c>
      <c r="H433" s="16" t="s">
        <v>13</v>
      </c>
      <c r="I433" s="16">
        <v>2013</v>
      </c>
      <c r="J433" s="16" t="s">
        <v>3181</v>
      </c>
      <c r="K433" s="16" t="s">
        <v>3182</v>
      </c>
      <c r="L433" s="16" t="s">
        <v>15</v>
      </c>
      <c r="M433" s="16" t="s">
        <v>3183</v>
      </c>
      <c r="N433" s="16"/>
      <c r="O433" s="16"/>
    </row>
    <row r="434" spans="1:15" x14ac:dyDescent="0.3">
      <c r="A434" s="16">
        <v>433</v>
      </c>
      <c r="B434" s="16" t="s">
        <v>1641</v>
      </c>
      <c r="C434" s="16" t="str">
        <f>"V2928693111001"</f>
        <v>V2928693111001</v>
      </c>
      <c r="D434" s="16" t="s">
        <v>3184</v>
      </c>
      <c r="E434" s="16" t="s">
        <v>3155</v>
      </c>
      <c r="F434" s="21">
        <v>9780071829489</v>
      </c>
      <c r="G434" s="16" t="s">
        <v>2022</v>
      </c>
      <c r="H434" s="16" t="s">
        <v>13</v>
      </c>
      <c r="I434" s="16">
        <v>2013</v>
      </c>
      <c r="J434" s="16" t="s">
        <v>3185</v>
      </c>
      <c r="K434" s="16" t="s">
        <v>2090</v>
      </c>
      <c r="L434" s="16" t="s">
        <v>15</v>
      </c>
      <c r="M434" s="16" t="s">
        <v>3186</v>
      </c>
      <c r="N434" s="16"/>
      <c r="O434" s="16"/>
    </row>
    <row r="435" spans="1:15" x14ac:dyDescent="0.3">
      <c r="A435" s="16">
        <v>434</v>
      </c>
      <c r="B435" s="16" t="s">
        <v>1641</v>
      </c>
      <c r="C435" s="16" t="str">
        <f>"V2928693112001"</f>
        <v>V2928693112001</v>
      </c>
      <c r="D435" s="16" t="s">
        <v>3187</v>
      </c>
      <c r="E435" s="16" t="s">
        <v>3155</v>
      </c>
      <c r="F435" s="21">
        <v>9780071829489</v>
      </c>
      <c r="G435" s="16" t="s">
        <v>2022</v>
      </c>
      <c r="H435" s="16" t="s">
        <v>13</v>
      </c>
      <c r="I435" s="16">
        <v>2013</v>
      </c>
      <c r="J435" s="16" t="s">
        <v>3188</v>
      </c>
      <c r="K435" s="16" t="s">
        <v>2090</v>
      </c>
      <c r="L435" s="16" t="s">
        <v>15</v>
      </c>
      <c r="M435" s="16" t="s">
        <v>3189</v>
      </c>
      <c r="N435" s="16"/>
      <c r="O435" s="16"/>
    </row>
    <row r="436" spans="1:15" x14ac:dyDescent="0.3">
      <c r="A436" s="16">
        <v>435</v>
      </c>
      <c r="B436" s="16" t="s">
        <v>1641</v>
      </c>
      <c r="C436" s="16" t="str">
        <f>"V2928693113001"</f>
        <v>V2928693113001</v>
      </c>
      <c r="D436" s="16" t="s">
        <v>3190</v>
      </c>
      <c r="E436" s="16" t="s">
        <v>3155</v>
      </c>
      <c r="F436" s="21">
        <v>9780071829489</v>
      </c>
      <c r="G436" s="16" t="s">
        <v>2022</v>
      </c>
      <c r="H436" s="16" t="s">
        <v>13</v>
      </c>
      <c r="I436" s="16">
        <v>2013</v>
      </c>
      <c r="J436" s="16" t="s">
        <v>3191</v>
      </c>
      <c r="K436" s="16" t="s">
        <v>2090</v>
      </c>
      <c r="L436" s="16" t="s">
        <v>15</v>
      </c>
      <c r="M436" s="16" t="s">
        <v>3192</v>
      </c>
      <c r="N436" s="16"/>
      <c r="O436" s="16"/>
    </row>
    <row r="437" spans="1:15" x14ac:dyDescent="0.3">
      <c r="A437" s="16">
        <v>436</v>
      </c>
      <c r="B437" s="16" t="s">
        <v>1641</v>
      </c>
      <c r="C437" s="16" t="str">
        <f>"V2928693114001"</f>
        <v>V2928693114001</v>
      </c>
      <c r="D437" s="16" t="s">
        <v>3193</v>
      </c>
      <c r="E437" s="16" t="s">
        <v>3155</v>
      </c>
      <c r="F437" s="21">
        <v>9780071829489</v>
      </c>
      <c r="G437" s="16" t="s">
        <v>2022</v>
      </c>
      <c r="H437" s="16" t="s">
        <v>13</v>
      </c>
      <c r="I437" s="16">
        <v>2013</v>
      </c>
      <c r="J437" s="16" t="s">
        <v>15</v>
      </c>
      <c r="K437" s="16" t="s">
        <v>3194</v>
      </c>
      <c r="L437" s="16" t="s">
        <v>1649</v>
      </c>
      <c r="M437" s="16"/>
      <c r="N437" s="16"/>
      <c r="O437" s="16"/>
    </row>
    <row r="438" spans="1:15" x14ac:dyDescent="0.3">
      <c r="A438" s="16">
        <v>437</v>
      </c>
      <c r="B438" s="16" t="s">
        <v>1641</v>
      </c>
      <c r="C438" s="16" t="str">
        <f>"V2928693115001"</f>
        <v>V2928693115001</v>
      </c>
      <c r="D438" s="16" t="s">
        <v>3195</v>
      </c>
      <c r="E438" s="16" t="s">
        <v>3155</v>
      </c>
      <c r="F438" s="21">
        <v>9780071829489</v>
      </c>
      <c r="G438" s="16" t="s">
        <v>2022</v>
      </c>
      <c r="H438" s="16" t="s">
        <v>13</v>
      </c>
      <c r="I438" s="16">
        <v>2013</v>
      </c>
      <c r="J438" s="16" t="s">
        <v>3196</v>
      </c>
      <c r="K438" s="16" t="s">
        <v>2090</v>
      </c>
      <c r="L438" s="16" t="s">
        <v>15</v>
      </c>
      <c r="M438" s="16" t="s">
        <v>3197</v>
      </c>
      <c r="N438" s="16"/>
      <c r="O438" s="16"/>
    </row>
    <row r="439" spans="1:15" x14ac:dyDescent="0.3">
      <c r="A439" s="16">
        <v>438</v>
      </c>
      <c r="B439" s="16" t="s">
        <v>1641</v>
      </c>
      <c r="C439" s="16" t="str">
        <f>"V2928693116001"</f>
        <v>V2928693116001</v>
      </c>
      <c r="D439" s="16" t="s">
        <v>3198</v>
      </c>
      <c r="E439" s="16" t="s">
        <v>3155</v>
      </c>
      <c r="F439" s="21">
        <v>9780071829489</v>
      </c>
      <c r="G439" s="16" t="s">
        <v>2022</v>
      </c>
      <c r="H439" s="16" t="s">
        <v>13</v>
      </c>
      <c r="I439" s="16">
        <v>2013</v>
      </c>
      <c r="J439" s="16" t="s">
        <v>3199</v>
      </c>
      <c r="K439" s="16" t="s">
        <v>2090</v>
      </c>
      <c r="L439" s="16" t="s">
        <v>15</v>
      </c>
      <c r="M439" s="16" t="s">
        <v>3200</v>
      </c>
      <c r="N439" s="16"/>
      <c r="O439" s="16"/>
    </row>
    <row r="440" spans="1:15" x14ac:dyDescent="0.3">
      <c r="A440" s="16">
        <v>439</v>
      </c>
      <c r="B440" s="16" t="s">
        <v>1641</v>
      </c>
      <c r="C440" s="16" t="str">
        <f>"V2928693117001"</f>
        <v>V2928693117001</v>
      </c>
      <c r="D440" s="16" t="s">
        <v>3201</v>
      </c>
      <c r="E440" s="16" t="s">
        <v>3155</v>
      </c>
      <c r="F440" s="21">
        <v>9780071829489</v>
      </c>
      <c r="G440" s="16" t="s">
        <v>2022</v>
      </c>
      <c r="H440" s="16" t="s">
        <v>13</v>
      </c>
      <c r="I440" s="16">
        <v>2013</v>
      </c>
      <c r="J440" s="16" t="s">
        <v>3202</v>
      </c>
      <c r="K440" s="16" t="s">
        <v>3203</v>
      </c>
      <c r="L440" s="16" t="s">
        <v>15</v>
      </c>
      <c r="M440" s="16" t="s">
        <v>3204</v>
      </c>
      <c r="N440" s="16"/>
      <c r="O440" s="16"/>
    </row>
    <row r="441" spans="1:15" x14ac:dyDescent="0.3">
      <c r="A441" s="16">
        <v>440</v>
      </c>
      <c r="B441" s="16" t="s">
        <v>1641</v>
      </c>
      <c r="C441" s="16" t="str">
        <f>"V2928693118001"</f>
        <v>V2928693118001</v>
      </c>
      <c r="D441" s="16" t="s">
        <v>3205</v>
      </c>
      <c r="E441" s="16" t="s">
        <v>3155</v>
      </c>
      <c r="F441" s="21">
        <v>9780071829489</v>
      </c>
      <c r="G441" s="16" t="s">
        <v>2022</v>
      </c>
      <c r="H441" s="16" t="s">
        <v>13</v>
      </c>
      <c r="I441" s="16">
        <v>2013</v>
      </c>
      <c r="J441" s="16" t="s">
        <v>3206</v>
      </c>
      <c r="K441" s="16" t="s">
        <v>2094</v>
      </c>
      <c r="L441" s="16" t="s">
        <v>15</v>
      </c>
      <c r="M441" s="16" t="s">
        <v>3207</v>
      </c>
      <c r="N441" s="16"/>
      <c r="O441" s="16"/>
    </row>
    <row r="442" spans="1:15" x14ac:dyDescent="0.3">
      <c r="A442" s="16">
        <v>441</v>
      </c>
      <c r="B442" s="16" t="s">
        <v>1641</v>
      </c>
      <c r="C442" s="16" t="str">
        <f>"V2928693119001"</f>
        <v>V2928693119001</v>
      </c>
      <c r="D442" s="16" t="s">
        <v>3208</v>
      </c>
      <c r="E442" s="16" t="s">
        <v>3155</v>
      </c>
      <c r="F442" s="21">
        <v>9780071829489</v>
      </c>
      <c r="G442" s="16" t="s">
        <v>2022</v>
      </c>
      <c r="H442" s="16" t="s">
        <v>13</v>
      </c>
      <c r="I442" s="16">
        <v>2013</v>
      </c>
      <c r="J442" s="16" t="s">
        <v>3209</v>
      </c>
      <c r="K442" s="16" t="s">
        <v>2090</v>
      </c>
      <c r="L442" s="16" t="s">
        <v>15</v>
      </c>
      <c r="M442" s="16" t="s">
        <v>3210</v>
      </c>
      <c r="N442" s="16"/>
      <c r="O442" s="16"/>
    </row>
    <row r="443" spans="1:15" x14ac:dyDescent="0.3">
      <c r="A443" s="16">
        <v>442</v>
      </c>
      <c r="B443" s="16" t="s">
        <v>1641</v>
      </c>
      <c r="C443" s="16" t="str">
        <f>"V2928693120001"</f>
        <v>V2928693120001</v>
      </c>
      <c r="D443" s="16" t="s">
        <v>3211</v>
      </c>
      <c r="E443" s="16" t="s">
        <v>3155</v>
      </c>
      <c r="F443" s="21">
        <v>9780071829489</v>
      </c>
      <c r="G443" s="16" t="s">
        <v>2022</v>
      </c>
      <c r="H443" s="16" t="s">
        <v>13</v>
      </c>
      <c r="I443" s="16">
        <v>2013</v>
      </c>
      <c r="J443" s="16" t="s">
        <v>3212</v>
      </c>
      <c r="K443" s="16" t="s">
        <v>3213</v>
      </c>
      <c r="L443" s="16" t="s">
        <v>15</v>
      </c>
      <c r="M443" s="16" t="s">
        <v>3214</v>
      </c>
      <c r="N443" s="16"/>
      <c r="O443" s="16"/>
    </row>
    <row r="444" spans="1:15" x14ac:dyDescent="0.3">
      <c r="A444" s="16">
        <v>443</v>
      </c>
      <c r="B444" s="16" t="s">
        <v>1641</v>
      </c>
      <c r="C444" s="16" t="str">
        <f>"V2928693121001"</f>
        <v>V2928693121001</v>
      </c>
      <c r="D444" s="16" t="s">
        <v>3215</v>
      </c>
      <c r="E444" s="16" t="s">
        <v>3155</v>
      </c>
      <c r="F444" s="21">
        <v>9780071829489</v>
      </c>
      <c r="G444" s="16" t="s">
        <v>2022</v>
      </c>
      <c r="H444" s="16" t="s">
        <v>13</v>
      </c>
      <c r="I444" s="16">
        <v>2013</v>
      </c>
      <c r="J444" s="16" t="s">
        <v>3216</v>
      </c>
      <c r="K444" s="16" t="s">
        <v>2090</v>
      </c>
      <c r="L444" s="16" t="s">
        <v>15</v>
      </c>
      <c r="M444" s="16" t="s">
        <v>3217</v>
      </c>
      <c r="N444" s="16"/>
      <c r="O444" s="16"/>
    </row>
    <row r="445" spans="1:15" x14ac:dyDescent="0.3">
      <c r="A445" s="16">
        <v>444</v>
      </c>
      <c r="B445" s="16" t="s">
        <v>1641</v>
      </c>
      <c r="C445" s="16" t="str">
        <f>"V2928693123001"</f>
        <v>V2928693123001</v>
      </c>
      <c r="D445" s="16" t="s">
        <v>3218</v>
      </c>
      <c r="E445" s="16" t="s">
        <v>3219</v>
      </c>
      <c r="F445" s="21">
        <v>9780071810791</v>
      </c>
      <c r="G445" s="16" t="s">
        <v>3220</v>
      </c>
      <c r="H445" s="16" t="s">
        <v>13</v>
      </c>
      <c r="I445" s="16">
        <v>2013</v>
      </c>
      <c r="J445" s="16" t="s">
        <v>3221</v>
      </c>
      <c r="K445" s="16" t="s">
        <v>3222</v>
      </c>
      <c r="L445" s="16" t="s">
        <v>15</v>
      </c>
      <c r="M445" s="16" t="s">
        <v>3223</v>
      </c>
      <c r="N445" s="16"/>
      <c r="O445" s="16"/>
    </row>
    <row r="446" spans="1:15" x14ac:dyDescent="0.3">
      <c r="A446" s="16">
        <v>445</v>
      </c>
      <c r="B446" s="16" t="s">
        <v>1641</v>
      </c>
      <c r="C446" s="16" t="str">
        <f>"V2928693124001"</f>
        <v>V2928693124001</v>
      </c>
      <c r="D446" s="16" t="s">
        <v>3224</v>
      </c>
      <c r="E446" s="16" t="s">
        <v>3219</v>
      </c>
      <c r="F446" s="21">
        <v>9780071810791</v>
      </c>
      <c r="G446" s="16" t="s">
        <v>3220</v>
      </c>
      <c r="H446" s="16" t="s">
        <v>13</v>
      </c>
      <c r="I446" s="16">
        <v>2013</v>
      </c>
      <c r="J446" s="16" t="s">
        <v>3225</v>
      </c>
      <c r="K446" s="16" t="s">
        <v>3226</v>
      </c>
      <c r="L446" s="16" t="s">
        <v>15</v>
      </c>
      <c r="M446" s="16" t="s">
        <v>3227</v>
      </c>
      <c r="N446" s="16"/>
      <c r="O446" s="16"/>
    </row>
    <row r="447" spans="1:15" x14ac:dyDescent="0.3">
      <c r="A447" s="16">
        <v>446</v>
      </c>
      <c r="B447" s="16" t="s">
        <v>1641</v>
      </c>
      <c r="C447" s="16" t="str">
        <f>"V2928693125001"</f>
        <v>V2928693125001</v>
      </c>
      <c r="D447" s="16" t="s">
        <v>3228</v>
      </c>
      <c r="E447" s="16" t="s">
        <v>3219</v>
      </c>
      <c r="F447" s="21">
        <v>9780071810791</v>
      </c>
      <c r="G447" s="16" t="s">
        <v>3220</v>
      </c>
      <c r="H447" s="16" t="s">
        <v>13</v>
      </c>
      <c r="I447" s="16">
        <v>2013</v>
      </c>
      <c r="J447" s="16" t="s">
        <v>3229</v>
      </c>
      <c r="K447" s="16" t="s">
        <v>698</v>
      </c>
      <c r="L447" s="16" t="s">
        <v>15</v>
      </c>
      <c r="M447" s="16" t="s">
        <v>3230</v>
      </c>
      <c r="N447" s="16"/>
      <c r="O447" s="16"/>
    </row>
    <row r="448" spans="1:15" x14ac:dyDescent="0.3">
      <c r="A448" s="16">
        <v>447</v>
      </c>
      <c r="B448" s="16" t="s">
        <v>1641</v>
      </c>
      <c r="C448" s="16" t="str">
        <f>"V2928693126001"</f>
        <v>V2928693126001</v>
      </c>
      <c r="D448" s="16" t="s">
        <v>3231</v>
      </c>
      <c r="E448" s="16" t="s">
        <v>3219</v>
      </c>
      <c r="F448" s="21">
        <v>9780071810791</v>
      </c>
      <c r="G448" s="16" t="s">
        <v>3220</v>
      </c>
      <c r="H448" s="16" t="s">
        <v>13</v>
      </c>
      <c r="I448" s="16">
        <v>2013</v>
      </c>
      <c r="J448" s="16" t="s">
        <v>3232</v>
      </c>
      <c r="K448" s="16" t="s">
        <v>3233</v>
      </c>
      <c r="L448" s="16" t="s">
        <v>15</v>
      </c>
      <c r="M448" s="16" t="s">
        <v>3234</v>
      </c>
      <c r="N448" s="16"/>
      <c r="O448" s="16"/>
    </row>
    <row r="449" spans="1:15" x14ac:dyDescent="0.3">
      <c r="A449" s="16">
        <v>448</v>
      </c>
      <c r="B449" s="16" t="s">
        <v>1641</v>
      </c>
      <c r="C449" s="16" t="str">
        <f>"V2928693127001"</f>
        <v>V2928693127001</v>
      </c>
      <c r="D449" s="16" t="s">
        <v>3235</v>
      </c>
      <c r="E449" s="16" t="s">
        <v>3219</v>
      </c>
      <c r="F449" s="21">
        <v>9780071810791</v>
      </c>
      <c r="G449" s="16" t="s">
        <v>3220</v>
      </c>
      <c r="H449" s="16" t="s">
        <v>13</v>
      </c>
      <c r="I449" s="16">
        <v>2013</v>
      </c>
      <c r="J449" s="16" t="s">
        <v>3236</v>
      </c>
      <c r="K449" s="16" t="s">
        <v>698</v>
      </c>
      <c r="L449" s="16" t="s">
        <v>15</v>
      </c>
      <c r="M449" s="16" t="s">
        <v>3237</v>
      </c>
      <c r="N449" s="16"/>
      <c r="O449" s="16"/>
    </row>
    <row r="450" spans="1:15" x14ac:dyDescent="0.3">
      <c r="A450" s="16">
        <v>449</v>
      </c>
      <c r="B450" s="16" t="s">
        <v>1641</v>
      </c>
      <c r="C450" s="16" t="str">
        <f>"V2928693128001"</f>
        <v>V2928693128001</v>
      </c>
      <c r="D450" s="16" t="s">
        <v>3238</v>
      </c>
      <c r="E450" s="16" t="s">
        <v>3219</v>
      </c>
      <c r="F450" s="21">
        <v>9780071810791</v>
      </c>
      <c r="G450" s="16" t="s">
        <v>3220</v>
      </c>
      <c r="H450" s="16" t="s">
        <v>13</v>
      </c>
      <c r="I450" s="16">
        <v>2013</v>
      </c>
      <c r="J450" s="16" t="s">
        <v>3239</v>
      </c>
      <c r="K450" s="16" t="s">
        <v>698</v>
      </c>
      <c r="L450" s="16" t="s">
        <v>15</v>
      </c>
      <c r="M450" s="16" t="s">
        <v>3240</v>
      </c>
      <c r="N450" s="16"/>
      <c r="O450" s="16"/>
    </row>
    <row r="451" spans="1:15" x14ac:dyDescent="0.3">
      <c r="A451" s="16">
        <v>450</v>
      </c>
      <c r="B451" s="16" t="s">
        <v>1641</v>
      </c>
      <c r="C451" s="16" t="str">
        <f>"V2928693129001"</f>
        <v>V2928693129001</v>
      </c>
      <c r="D451" s="16" t="s">
        <v>3241</v>
      </c>
      <c r="E451" s="16" t="s">
        <v>3219</v>
      </c>
      <c r="F451" s="21">
        <v>9780071810791</v>
      </c>
      <c r="G451" s="16" t="s">
        <v>3220</v>
      </c>
      <c r="H451" s="16" t="s">
        <v>13</v>
      </c>
      <c r="I451" s="16">
        <v>2013</v>
      </c>
      <c r="J451" s="16" t="s">
        <v>3242</v>
      </c>
      <c r="K451" s="16" t="s">
        <v>2961</v>
      </c>
      <c r="L451" s="16" t="s">
        <v>15</v>
      </c>
      <c r="M451" s="16" t="s">
        <v>3243</v>
      </c>
      <c r="N451" s="16"/>
      <c r="O451" s="16"/>
    </row>
    <row r="452" spans="1:15" x14ac:dyDescent="0.3">
      <c r="A452" s="16">
        <v>451</v>
      </c>
      <c r="B452" s="16" t="s">
        <v>1641</v>
      </c>
      <c r="C452" s="16" t="str">
        <f>"V2928693130001"</f>
        <v>V2928693130001</v>
      </c>
      <c r="D452" s="16" t="s">
        <v>3244</v>
      </c>
      <c r="E452" s="16" t="s">
        <v>3219</v>
      </c>
      <c r="F452" s="21">
        <v>9780071810791</v>
      </c>
      <c r="G452" s="16" t="s">
        <v>3220</v>
      </c>
      <c r="H452" s="16" t="s">
        <v>13</v>
      </c>
      <c r="I452" s="16">
        <v>2013</v>
      </c>
      <c r="J452" s="16" t="s">
        <v>3245</v>
      </c>
      <c r="K452" s="16" t="s">
        <v>698</v>
      </c>
      <c r="L452" s="16" t="s">
        <v>15</v>
      </c>
      <c r="M452" s="16" t="s">
        <v>3246</v>
      </c>
      <c r="N452" s="16"/>
      <c r="O452" s="16"/>
    </row>
    <row r="453" spans="1:15" x14ac:dyDescent="0.3">
      <c r="A453" s="16">
        <v>452</v>
      </c>
      <c r="B453" s="16" t="s">
        <v>1641</v>
      </c>
      <c r="C453" s="16" t="str">
        <f>"V2928693131001"</f>
        <v>V2928693131001</v>
      </c>
      <c r="D453" s="16" t="s">
        <v>3247</v>
      </c>
      <c r="E453" s="16" t="s">
        <v>3219</v>
      </c>
      <c r="F453" s="21">
        <v>9780071810791</v>
      </c>
      <c r="G453" s="16" t="s">
        <v>3220</v>
      </c>
      <c r="H453" s="16" t="s">
        <v>13</v>
      </c>
      <c r="I453" s="16">
        <v>2013</v>
      </c>
      <c r="J453" s="16" t="s">
        <v>15</v>
      </c>
      <c r="K453" s="16" t="s">
        <v>3248</v>
      </c>
      <c r="L453" s="16" t="s">
        <v>1649</v>
      </c>
      <c r="M453" s="16"/>
      <c r="N453" s="16"/>
      <c r="O453" s="16"/>
    </row>
    <row r="454" spans="1:15" x14ac:dyDescent="0.3">
      <c r="A454" s="16">
        <v>453</v>
      </c>
      <c r="B454" s="16" t="s">
        <v>1641</v>
      </c>
      <c r="C454" s="16" t="str">
        <f>"V2928693132001"</f>
        <v>V2928693132001</v>
      </c>
      <c r="D454" s="16" t="s">
        <v>3249</v>
      </c>
      <c r="E454" s="16" t="s">
        <v>3219</v>
      </c>
      <c r="F454" s="21">
        <v>9780071810791</v>
      </c>
      <c r="G454" s="16" t="s">
        <v>3220</v>
      </c>
      <c r="H454" s="16" t="s">
        <v>13</v>
      </c>
      <c r="I454" s="16">
        <v>2013</v>
      </c>
      <c r="J454" s="16" t="s">
        <v>3250</v>
      </c>
      <c r="K454" s="16" t="s">
        <v>3251</v>
      </c>
      <c r="L454" s="16" t="s">
        <v>15</v>
      </c>
      <c r="M454" s="16" t="s">
        <v>3252</v>
      </c>
      <c r="N454" s="16"/>
      <c r="O454" s="16"/>
    </row>
    <row r="455" spans="1:15" x14ac:dyDescent="0.3">
      <c r="A455" s="16">
        <v>454</v>
      </c>
      <c r="B455" s="16" t="s">
        <v>1641</v>
      </c>
      <c r="C455" s="16" t="str">
        <f>"V2928693133001"</f>
        <v>V2928693133001</v>
      </c>
      <c r="D455" s="16" t="s">
        <v>3253</v>
      </c>
      <c r="E455" s="16" t="s">
        <v>3219</v>
      </c>
      <c r="F455" s="21">
        <v>9780071810791</v>
      </c>
      <c r="G455" s="16" t="s">
        <v>3220</v>
      </c>
      <c r="H455" s="16" t="s">
        <v>13</v>
      </c>
      <c r="I455" s="16">
        <v>2013</v>
      </c>
      <c r="J455" s="16" t="s">
        <v>3254</v>
      </c>
      <c r="K455" s="16" t="s">
        <v>2973</v>
      </c>
      <c r="L455" s="16" t="s">
        <v>15</v>
      </c>
      <c r="M455" s="16" t="s">
        <v>3255</v>
      </c>
      <c r="N455" s="16"/>
      <c r="O455" s="16"/>
    </row>
    <row r="456" spans="1:15" x14ac:dyDescent="0.3">
      <c r="A456" s="16">
        <v>455</v>
      </c>
      <c r="B456" s="16" t="s">
        <v>1641</v>
      </c>
      <c r="C456" s="16" t="str">
        <f>"V2928693134001"</f>
        <v>V2928693134001</v>
      </c>
      <c r="D456" s="16" t="s">
        <v>3256</v>
      </c>
      <c r="E456" s="16" t="s">
        <v>3219</v>
      </c>
      <c r="F456" s="21">
        <v>9780071810791</v>
      </c>
      <c r="G456" s="16" t="s">
        <v>3220</v>
      </c>
      <c r="H456" s="16" t="s">
        <v>13</v>
      </c>
      <c r="I456" s="16">
        <v>2013</v>
      </c>
      <c r="J456" s="16" t="s">
        <v>3257</v>
      </c>
      <c r="K456" s="16" t="s">
        <v>698</v>
      </c>
      <c r="L456" s="16" t="s">
        <v>15</v>
      </c>
      <c r="M456" s="16" t="s">
        <v>3258</v>
      </c>
      <c r="N456" s="16"/>
      <c r="O456" s="16"/>
    </row>
    <row r="457" spans="1:15" x14ac:dyDescent="0.3">
      <c r="A457" s="16">
        <v>456</v>
      </c>
      <c r="B457" s="16" t="s">
        <v>1641</v>
      </c>
      <c r="C457" s="16" t="str">
        <f>"V2928693135001"</f>
        <v>V2928693135001</v>
      </c>
      <c r="D457" s="16" t="s">
        <v>3259</v>
      </c>
      <c r="E457" s="16" t="s">
        <v>3219</v>
      </c>
      <c r="F457" s="21">
        <v>9780071810791</v>
      </c>
      <c r="G457" s="16" t="s">
        <v>3220</v>
      </c>
      <c r="H457" s="16" t="s">
        <v>13</v>
      </c>
      <c r="I457" s="16">
        <v>2013</v>
      </c>
      <c r="J457" s="16" t="s">
        <v>3260</v>
      </c>
      <c r="K457" s="16" t="s">
        <v>2989</v>
      </c>
      <c r="L457" s="16" t="s">
        <v>15</v>
      </c>
      <c r="M457" s="16" t="s">
        <v>3261</v>
      </c>
      <c r="N457" s="16"/>
      <c r="O457" s="16"/>
    </row>
    <row r="458" spans="1:15" x14ac:dyDescent="0.3">
      <c r="A458" s="16">
        <v>457</v>
      </c>
      <c r="B458" s="16" t="s">
        <v>1641</v>
      </c>
      <c r="C458" s="16" t="str">
        <f>"V2928693136001"</f>
        <v>V2928693136001</v>
      </c>
      <c r="D458" s="16" t="s">
        <v>3262</v>
      </c>
      <c r="E458" s="16" t="s">
        <v>3219</v>
      </c>
      <c r="F458" s="21">
        <v>9780071810791</v>
      </c>
      <c r="G458" s="16" t="s">
        <v>3220</v>
      </c>
      <c r="H458" s="16" t="s">
        <v>13</v>
      </c>
      <c r="I458" s="16">
        <v>2013</v>
      </c>
      <c r="J458" s="16" t="s">
        <v>3263</v>
      </c>
      <c r="K458" s="16" t="s">
        <v>698</v>
      </c>
      <c r="L458" s="16" t="s">
        <v>15</v>
      </c>
      <c r="M458" s="16" t="s">
        <v>3264</v>
      </c>
      <c r="N458" s="16"/>
      <c r="O458" s="16"/>
    </row>
    <row r="459" spans="1:15" x14ac:dyDescent="0.3">
      <c r="A459" s="16">
        <v>458</v>
      </c>
      <c r="B459" s="16" t="s">
        <v>1641</v>
      </c>
      <c r="C459" s="16" t="str">
        <f>"V2928693137001"</f>
        <v>V2928693137001</v>
      </c>
      <c r="D459" s="16" t="s">
        <v>3265</v>
      </c>
      <c r="E459" s="16" t="s">
        <v>3219</v>
      </c>
      <c r="F459" s="21">
        <v>9780071810791</v>
      </c>
      <c r="G459" s="16" t="s">
        <v>3220</v>
      </c>
      <c r="H459" s="16" t="s">
        <v>13</v>
      </c>
      <c r="I459" s="16">
        <v>2013</v>
      </c>
      <c r="J459" s="16" t="s">
        <v>3266</v>
      </c>
      <c r="K459" s="16" t="s">
        <v>3267</v>
      </c>
      <c r="L459" s="16" t="s">
        <v>15</v>
      </c>
      <c r="M459" s="16" t="s">
        <v>3268</v>
      </c>
      <c r="N459" s="16"/>
      <c r="O459" s="16"/>
    </row>
    <row r="460" spans="1:15" x14ac:dyDescent="0.3">
      <c r="A460" s="16">
        <v>459</v>
      </c>
      <c r="B460" s="16" t="s">
        <v>1641</v>
      </c>
      <c r="C460" s="16" t="str">
        <f>"V2928693138001"</f>
        <v>V2928693138001</v>
      </c>
      <c r="D460" s="16" t="s">
        <v>3269</v>
      </c>
      <c r="E460" s="16" t="s">
        <v>3219</v>
      </c>
      <c r="F460" s="21">
        <v>9780071810791</v>
      </c>
      <c r="G460" s="16" t="s">
        <v>3220</v>
      </c>
      <c r="H460" s="16" t="s">
        <v>13</v>
      </c>
      <c r="I460" s="16">
        <v>2013</v>
      </c>
      <c r="J460" s="16" t="s">
        <v>3270</v>
      </c>
      <c r="K460" s="16" t="s">
        <v>698</v>
      </c>
      <c r="L460" s="16" t="s">
        <v>15</v>
      </c>
      <c r="M460" s="16" t="s">
        <v>3271</v>
      </c>
      <c r="N460" s="16"/>
      <c r="O460" s="16"/>
    </row>
    <row r="461" spans="1:15" x14ac:dyDescent="0.3">
      <c r="A461" s="16">
        <v>460</v>
      </c>
      <c r="B461" s="16" t="s">
        <v>1641</v>
      </c>
      <c r="C461" s="16" t="str">
        <f>"V2928693139001"</f>
        <v>V2928693139001</v>
      </c>
      <c r="D461" s="16" t="s">
        <v>3272</v>
      </c>
      <c r="E461" s="16" t="s">
        <v>3219</v>
      </c>
      <c r="F461" s="21">
        <v>9780071810791</v>
      </c>
      <c r="G461" s="16" t="s">
        <v>3220</v>
      </c>
      <c r="H461" s="16" t="s">
        <v>13</v>
      </c>
      <c r="I461" s="16">
        <v>2013</v>
      </c>
      <c r="J461" s="16" t="s">
        <v>3273</v>
      </c>
      <c r="K461" s="16" t="s">
        <v>3274</v>
      </c>
      <c r="L461" s="16" t="s">
        <v>15</v>
      </c>
      <c r="M461" s="16" t="s">
        <v>3275</v>
      </c>
      <c r="N461" s="16"/>
      <c r="O461" s="16"/>
    </row>
    <row r="462" spans="1:15" x14ac:dyDescent="0.3">
      <c r="A462" s="16">
        <v>461</v>
      </c>
      <c r="B462" s="16" t="s">
        <v>1641</v>
      </c>
      <c r="C462" s="16" t="str">
        <f>"V2928693140001"</f>
        <v>V2928693140001</v>
      </c>
      <c r="D462" s="16" t="s">
        <v>3276</v>
      </c>
      <c r="E462" s="16" t="s">
        <v>3219</v>
      </c>
      <c r="F462" s="21">
        <v>9780071810791</v>
      </c>
      <c r="G462" s="16" t="s">
        <v>3220</v>
      </c>
      <c r="H462" s="16" t="s">
        <v>13</v>
      </c>
      <c r="I462" s="16">
        <v>2013</v>
      </c>
      <c r="J462" s="16" t="s">
        <v>3277</v>
      </c>
      <c r="K462" s="16" t="s">
        <v>2989</v>
      </c>
      <c r="L462" s="16" t="s">
        <v>15</v>
      </c>
      <c r="M462" s="16" t="s">
        <v>3278</v>
      </c>
      <c r="N462" s="16"/>
      <c r="O462" s="16"/>
    </row>
    <row r="463" spans="1:15" x14ac:dyDescent="0.3">
      <c r="A463" s="16">
        <v>462</v>
      </c>
      <c r="B463" s="16" t="s">
        <v>1641</v>
      </c>
      <c r="C463" s="16" t="str">
        <f>"V2928693141001"</f>
        <v>V2928693141001</v>
      </c>
      <c r="D463" s="16" t="s">
        <v>3279</v>
      </c>
      <c r="E463" s="16" t="s">
        <v>3219</v>
      </c>
      <c r="F463" s="21">
        <v>9780071810791</v>
      </c>
      <c r="G463" s="16" t="s">
        <v>3220</v>
      </c>
      <c r="H463" s="16" t="s">
        <v>13</v>
      </c>
      <c r="I463" s="16">
        <v>2013</v>
      </c>
      <c r="J463" s="16" t="s">
        <v>3280</v>
      </c>
      <c r="K463" s="16" t="s">
        <v>3281</v>
      </c>
      <c r="L463" s="16" t="s">
        <v>15</v>
      </c>
      <c r="M463" s="16" t="s">
        <v>3282</v>
      </c>
      <c r="N463" s="16"/>
      <c r="O463" s="16"/>
    </row>
    <row r="464" spans="1:15" x14ac:dyDescent="0.3">
      <c r="A464" s="16">
        <v>463</v>
      </c>
      <c r="B464" s="16" t="s">
        <v>1641</v>
      </c>
      <c r="C464" s="16" t="str">
        <f>"V2928693142001"</f>
        <v>V2928693142001</v>
      </c>
      <c r="D464" s="16" t="s">
        <v>3283</v>
      </c>
      <c r="E464" s="16" t="s">
        <v>3219</v>
      </c>
      <c r="F464" s="21">
        <v>9780071810791</v>
      </c>
      <c r="G464" s="16" t="s">
        <v>3220</v>
      </c>
      <c r="H464" s="16" t="s">
        <v>13</v>
      </c>
      <c r="I464" s="16">
        <v>2013</v>
      </c>
      <c r="J464" s="16" t="s">
        <v>3284</v>
      </c>
      <c r="K464" s="16" t="s">
        <v>698</v>
      </c>
      <c r="L464" s="16" t="s">
        <v>15</v>
      </c>
      <c r="M464" s="16" t="s">
        <v>3285</v>
      </c>
      <c r="N464" s="16"/>
      <c r="O464" s="16"/>
    </row>
    <row r="465" spans="1:15" x14ac:dyDescent="0.3">
      <c r="A465" s="16">
        <v>464</v>
      </c>
      <c r="B465" s="16" t="s">
        <v>1641</v>
      </c>
      <c r="C465" s="16" t="str">
        <f>"V2929037646001"</f>
        <v>V2929037646001</v>
      </c>
      <c r="D465" s="16" t="s">
        <v>3286</v>
      </c>
      <c r="E465" s="16" t="s">
        <v>3287</v>
      </c>
      <c r="F465" s="21">
        <v>9781260011968</v>
      </c>
      <c r="G465" s="16" t="s">
        <v>2022</v>
      </c>
      <c r="H465" s="16" t="s">
        <v>13</v>
      </c>
      <c r="I465" s="16">
        <v>2013</v>
      </c>
      <c r="J465" s="16" t="s">
        <v>3288</v>
      </c>
      <c r="K465" s="16" t="s">
        <v>3289</v>
      </c>
      <c r="L465" s="16" t="s">
        <v>15</v>
      </c>
      <c r="M465" s="16" t="s">
        <v>3290</v>
      </c>
      <c r="N465" s="16"/>
      <c r="O465" s="16"/>
    </row>
    <row r="466" spans="1:15" x14ac:dyDescent="0.3">
      <c r="A466" s="16">
        <v>465</v>
      </c>
      <c r="B466" s="16" t="s">
        <v>1641</v>
      </c>
      <c r="C466" s="16" t="str">
        <f>"V2929037647001"</f>
        <v>V2929037647001</v>
      </c>
      <c r="D466" s="16" t="s">
        <v>3291</v>
      </c>
      <c r="E466" s="16" t="s">
        <v>3287</v>
      </c>
      <c r="F466" s="21">
        <v>9781260011968</v>
      </c>
      <c r="G466" s="16" t="s">
        <v>2022</v>
      </c>
      <c r="H466" s="16" t="s">
        <v>13</v>
      </c>
      <c r="I466" s="16">
        <v>2013</v>
      </c>
      <c r="J466" s="16" t="s">
        <v>3292</v>
      </c>
      <c r="K466" s="16" t="s">
        <v>2186</v>
      </c>
      <c r="L466" s="16" t="s">
        <v>15</v>
      </c>
      <c r="M466" s="16" t="s">
        <v>3293</v>
      </c>
      <c r="N466" s="16"/>
      <c r="O466" s="16"/>
    </row>
    <row r="467" spans="1:15" x14ac:dyDescent="0.3">
      <c r="A467" s="16">
        <v>466</v>
      </c>
      <c r="B467" s="16" t="s">
        <v>1641</v>
      </c>
      <c r="C467" s="16" t="str">
        <f>"V2929037648001"</f>
        <v>V2929037648001</v>
      </c>
      <c r="D467" s="16" t="s">
        <v>3294</v>
      </c>
      <c r="E467" s="16" t="s">
        <v>3287</v>
      </c>
      <c r="F467" s="21">
        <v>9781260011968</v>
      </c>
      <c r="G467" s="16" t="s">
        <v>2022</v>
      </c>
      <c r="H467" s="16" t="s">
        <v>13</v>
      </c>
      <c r="I467" s="16">
        <v>2013</v>
      </c>
      <c r="J467" s="16" t="s">
        <v>3295</v>
      </c>
      <c r="K467" s="16" t="s">
        <v>2162</v>
      </c>
      <c r="L467" s="16" t="s">
        <v>15</v>
      </c>
      <c r="M467" s="16" t="s">
        <v>3296</v>
      </c>
      <c r="N467" s="16"/>
      <c r="O467" s="16"/>
    </row>
    <row r="468" spans="1:15" x14ac:dyDescent="0.3">
      <c r="A468" s="16">
        <v>467</v>
      </c>
      <c r="B468" s="16" t="s">
        <v>1641</v>
      </c>
      <c r="C468" s="16" t="str">
        <f>"V2929037649001"</f>
        <v>V2929037649001</v>
      </c>
      <c r="D468" s="16" t="s">
        <v>3297</v>
      </c>
      <c r="E468" s="16" t="s">
        <v>3287</v>
      </c>
      <c r="F468" s="21">
        <v>9781260011968</v>
      </c>
      <c r="G468" s="16" t="s">
        <v>2022</v>
      </c>
      <c r="H468" s="16" t="s">
        <v>13</v>
      </c>
      <c r="I468" s="16">
        <v>2013</v>
      </c>
      <c r="J468" s="16" t="s">
        <v>3298</v>
      </c>
      <c r="K468" s="16" t="s">
        <v>2205</v>
      </c>
      <c r="L468" s="16" t="s">
        <v>15</v>
      </c>
      <c r="M468" s="16" t="s">
        <v>3299</v>
      </c>
      <c r="N468" s="16"/>
      <c r="O468" s="16"/>
    </row>
    <row r="469" spans="1:15" x14ac:dyDescent="0.3">
      <c r="A469" s="16">
        <v>468</v>
      </c>
      <c r="B469" s="16" t="s">
        <v>1641</v>
      </c>
      <c r="C469" s="16" t="str">
        <f>"V2929037650001"</f>
        <v>V2929037650001</v>
      </c>
      <c r="D469" s="16" t="s">
        <v>3300</v>
      </c>
      <c r="E469" s="16" t="s">
        <v>3287</v>
      </c>
      <c r="F469" s="21">
        <v>9781260011968</v>
      </c>
      <c r="G469" s="16" t="s">
        <v>2022</v>
      </c>
      <c r="H469" s="16" t="s">
        <v>13</v>
      </c>
      <c r="I469" s="16">
        <v>2013</v>
      </c>
      <c r="J469" s="16" t="s">
        <v>3301</v>
      </c>
      <c r="K469" s="16" t="s">
        <v>2205</v>
      </c>
      <c r="L469" s="16" t="s">
        <v>15</v>
      </c>
      <c r="M469" s="16" t="s">
        <v>3302</v>
      </c>
      <c r="N469" s="16"/>
      <c r="O469" s="16"/>
    </row>
    <row r="470" spans="1:15" x14ac:dyDescent="0.3">
      <c r="A470" s="16">
        <v>469</v>
      </c>
      <c r="B470" s="16" t="s">
        <v>1641</v>
      </c>
      <c r="C470" s="16" t="str">
        <f>"V2929037651001"</f>
        <v>V2929037651001</v>
      </c>
      <c r="D470" s="16" t="s">
        <v>3303</v>
      </c>
      <c r="E470" s="16" t="s">
        <v>3287</v>
      </c>
      <c r="F470" s="21">
        <v>9781260011968</v>
      </c>
      <c r="G470" s="16" t="s">
        <v>2022</v>
      </c>
      <c r="H470" s="16" t="s">
        <v>13</v>
      </c>
      <c r="I470" s="16">
        <v>2013</v>
      </c>
      <c r="J470" s="16" t="s">
        <v>3304</v>
      </c>
      <c r="K470" s="16" t="s">
        <v>2162</v>
      </c>
      <c r="L470" s="16" t="s">
        <v>15</v>
      </c>
      <c r="M470" s="16" t="s">
        <v>3305</v>
      </c>
      <c r="N470" s="16"/>
      <c r="O470" s="16"/>
    </row>
    <row r="471" spans="1:15" x14ac:dyDescent="0.3">
      <c r="A471" s="16">
        <v>470</v>
      </c>
      <c r="B471" s="16" t="s">
        <v>1641</v>
      </c>
      <c r="C471" s="16" t="str">
        <f>"V2929037652001"</f>
        <v>V2929037652001</v>
      </c>
      <c r="D471" s="16" t="s">
        <v>3306</v>
      </c>
      <c r="E471" s="16" t="s">
        <v>3287</v>
      </c>
      <c r="F471" s="21">
        <v>9781260011968</v>
      </c>
      <c r="G471" s="16" t="s">
        <v>2022</v>
      </c>
      <c r="H471" s="16" t="s">
        <v>13</v>
      </c>
      <c r="I471" s="16">
        <v>2013</v>
      </c>
      <c r="J471" s="16" t="s">
        <v>3307</v>
      </c>
      <c r="K471" s="16" t="s">
        <v>2162</v>
      </c>
      <c r="L471" s="16" t="s">
        <v>15</v>
      </c>
      <c r="M471" s="16" t="s">
        <v>3308</v>
      </c>
      <c r="N471" s="16"/>
      <c r="O471" s="16"/>
    </row>
    <row r="472" spans="1:15" x14ac:dyDescent="0.3">
      <c r="A472" s="16">
        <v>471</v>
      </c>
      <c r="B472" s="16" t="s">
        <v>1641</v>
      </c>
      <c r="C472" s="16" t="str">
        <f>"V2929037653001"</f>
        <v>V2929037653001</v>
      </c>
      <c r="D472" s="16" t="s">
        <v>3309</v>
      </c>
      <c r="E472" s="16" t="s">
        <v>3287</v>
      </c>
      <c r="F472" s="21">
        <v>9781260011968</v>
      </c>
      <c r="G472" s="16" t="s">
        <v>2022</v>
      </c>
      <c r="H472" s="16" t="s">
        <v>13</v>
      </c>
      <c r="I472" s="16">
        <v>2013</v>
      </c>
      <c r="J472" s="16" t="s">
        <v>3310</v>
      </c>
      <c r="K472" s="16" t="s">
        <v>3311</v>
      </c>
      <c r="L472" s="16" t="s">
        <v>15</v>
      </c>
      <c r="M472" s="16" t="s">
        <v>3312</v>
      </c>
      <c r="N472" s="16"/>
      <c r="O472" s="16"/>
    </row>
    <row r="473" spans="1:15" x14ac:dyDescent="0.3">
      <c r="A473" s="16">
        <v>472</v>
      </c>
      <c r="B473" s="16" t="s">
        <v>1641</v>
      </c>
      <c r="C473" s="16" t="str">
        <f>"V2929037654001"</f>
        <v>V2929037654001</v>
      </c>
      <c r="D473" s="16" t="s">
        <v>3313</v>
      </c>
      <c r="E473" s="16" t="s">
        <v>3287</v>
      </c>
      <c r="F473" s="21">
        <v>9781260011968</v>
      </c>
      <c r="G473" s="16" t="s">
        <v>2022</v>
      </c>
      <c r="H473" s="16" t="s">
        <v>13</v>
      </c>
      <c r="I473" s="16">
        <v>2013</v>
      </c>
      <c r="J473" s="16" t="s">
        <v>3314</v>
      </c>
      <c r="K473" s="16" t="s">
        <v>2162</v>
      </c>
      <c r="L473" s="16" t="s">
        <v>15</v>
      </c>
      <c r="M473" s="16" t="s">
        <v>3315</v>
      </c>
      <c r="N473" s="16"/>
      <c r="O473" s="16"/>
    </row>
    <row r="474" spans="1:15" x14ac:dyDescent="0.3">
      <c r="A474" s="16">
        <v>473</v>
      </c>
      <c r="B474" s="16" t="s">
        <v>1641</v>
      </c>
      <c r="C474" s="16" t="str">
        <f>"V2929037655001"</f>
        <v>V2929037655001</v>
      </c>
      <c r="D474" s="16" t="s">
        <v>3316</v>
      </c>
      <c r="E474" s="16" t="s">
        <v>3287</v>
      </c>
      <c r="F474" s="21">
        <v>9781260011968</v>
      </c>
      <c r="G474" s="16" t="s">
        <v>2022</v>
      </c>
      <c r="H474" s="16" t="s">
        <v>13</v>
      </c>
      <c r="I474" s="16">
        <v>2013</v>
      </c>
      <c r="J474" s="16" t="s">
        <v>3317</v>
      </c>
      <c r="K474" s="16" t="s">
        <v>2162</v>
      </c>
      <c r="L474" s="16" t="s">
        <v>15</v>
      </c>
      <c r="M474" s="16" t="s">
        <v>3318</v>
      </c>
      <c r="N474" s="16"/>
      <c r="O474" s="16"/>
    </row>
    <row r="475" spans="1:15" x14ac:dyDescent="0.3">
      <c r="A475" s="16">
        <v>474</v>
      </c>
      <c r="B475" s="16" t="s">
        <v>1641</v>
      </c>
      <c r="C475" s="16" t="str">
        <f>"V2929037656001"</f>
        <v>V2929037656001</v>
      </c>
      <c r="D475" s="16" t="s">
        <v>3319</v>
      </c>
      <c r="E475" s="16" t="s">
        <v>3287</v>
      </c>
      <c r="F475" s="21">
        <v>9781260011968</v>
      </c>
      <c r="G475" s="16" t="s">
        <v>2022</v>
      </c>
      <c r="H475" s="16" t="s">
        <v>13</v>
      </c>
      <c r="I475" s="16">
        <v>2013</v>
      </c>
      <c r="J475" s="16" t="s">
        <v>3320</v>
      </c>
      <c r="K475" s="16" t="s">
        <v>2205</v>
      </c>
      <c r="L475" s="16" t="s">
        <v>15</v>
      </c>
      <c r="M475" s="16" t="s">
        <v>3321</v>
      </c>
      <c r="N475" s="16"/>
      <c r="O475" s="16"/>
    </row>
    <row r="476" spans="1:15" x14ac:dyDescent="0.3">
      <c r="A476" s="16">
        <v>475</v>
      </c>
      <c r="B476" s="16" t="s">
        <v>1641</v>
      </c>
      <c r="C476" s="16" t="str">
        <f>"V2929037657001"</f>
        <v>V2929037657001</v>
      </c>
      <c r="D476" s="16" t="s">
        <v>3322</v>
      </c>
      <c r="E476" s="16" t="s">
        <v>3287</v>
      </c>
      <c r="F476" s="21">
        <v>9781260011968</v>
      </c>
      <c r="G476" s="16" t="s">
        <v>2022</v>
      </c>
      <c r="H476" s="16" t="s">
        <v>13</v>
      </c>
      <c r="I476" s="16">
        <v>2013</v>
      </c>
      <c r="J476" s="16"/>
      <c r="K476" s="16"/>
      <c r="L476" s="16" t="s">
        <v>15</v>
      </c>
      <c r="M476" s="16" t="s">
        <v>3323</v>
      </c>
      <c r="N476" s="16"/>
      <c r="O476" s="16"/>
    </row>
    <row r="477" spans="1:15" x14ac:dyDescent="0.3">
      <c r="A477" s="16">
        <v>476</v>
      </c>
      <c r="B477" s="16" t="s">
        <v>1641</v>
      </c>
      <c r="C477" s="16" t="str">
        <f>"V2929037658001"</f>
        <v>V2929037658001</v>
      </c>
      <c r="D477" s="16" t="s">
        <v>3324</v>
      </c>
      <c r="E477" s="16" t="s">
        <v>3287</v>
      </c>
      <c r="F477" s="21">
        <v>9781260011968</v>
      </c>
      <c r="G477" s="16" t="s">
        <v>2022</v>
      </c>
      <c r="H477" s="16" t="s">
        <v>13</v>
      </c>
      <c r="I477" s="16">
        <v>2013</v>
      </c>
      <c r="J477" s="16"/>
      <c r="K477" s="16"/>
      <c r="L477" s="16" t="s">
        <v>15</v>
      </c>
      <c r="M477" s="16" t="s">
        <v>3325</v>
      </c>
      <c r="N477" s="16"/>
      <c r="O477" s="16"/>
    </row>
    <row r="478" spans="1:15" x14ac:dyDescent="0.3">
      <c r="A478" s="16">
        <v>477</v>
      </c>
      <c r="B478" s="16" t="s">
        <v>1641</v>
      </c>
      <c r="C478" s="16" t="str">
        <f>"V2929037659001"</f>
        <v>V2929037659001</v>
      </c>
      <c r="D478" s="16" t="s">
        <v>3326</v>
      </c>
      <c r="E478" s="16" t="s">
        <v>3287</v>
      </c>
      <c r="F478" s="21">
        <v>9781260011968</v>
      </c>
      <c r="G478" s="16" t="s">
        <v>2022</v>
      </c>
      <c r="H478" s="16" t="s">
        <v>13</v>
      </c>
      <c r="I478" s="16">
        <v>2013</v>
      </c>
      <c r="J478" s="16"/>
      <c r="K478" s="16"/>
      <c r="L478" s="16" t="s">
        <v>15</v>
      </c>
      <c r="M478" s="16" t="s">
        <v>3327</v>
      </c>
      <c r="N478" s="16"/>
      <c r="O478" s="16"/>
    </row>
    <row r="479" spans="1:15" x14ac:dyDescent="0.3">
      <c r="A479" s="16">
        <v>478</v>
      </c>
      <c r="B479" s="16" t="s">
        <v>1641</v>
      </c>
      <c r="C479" s="16" t="str">
        <f>"V2929037660001"</f>
        <v>V2929037660001</v>
      </c>
      <c r="D479" s="16" t="s">
        <v>3328</v>
      </c>
      <c r="E479" s="16" t="s">
        <v>3287</v>
      </c>
      <c r="F479" s="21">
        <v>9781260011968</v>
      </c>
      <c r="G479" s="16" t="s">
        <v>2022</v>
      </c>
      <c r="H479" s="16" t="s">
        <v>13</v>
      </c>
      <c r="I479" s="16">
        <v>2013</v>
      </c>
      <c r="J479" s="16" t="s">
        <v>3329</v>
      </c>
      <c r="K479" s="16" t="s">
        <v>2162</v>
      </c>
      <c r="L479" s="16" t="s">
        <v>15</v>
      </c>
      <c r="M479" s="16" t="s">
        <v>3330</v>
      </c>
      <c r="N479" s="16"/>
      <c r="O479" s="16"/>
    </row>
    <row r="480" spans="1:15" x14ac:dyDescent="0.3">
      <c r="A480" s="16">
        <v>479</v>
      </c>
      <c r="B480" s="16" t="s">
        <v>1641</v>
      </c>
      <c r="C480" s="16" t="str">
        <f>"V2929037661001"</f>
        <v>V2929037661001</v>
      </c>
      <c r="D480" s="16" t="s">
        <v>3331</v>
      </c>
      <c r="E480" s="16" t="s">
        <v>3287</v>
      </c>
      <c r="F480" s="21">
        <v>9781260011968</v>
      </c>
      <c r="G480" s="16" t="s">
        <v>2022</v>
      </c>
      <c r="H480" s="16" t="s">
        <v>13</v>
      </c>
      <c r="I480" s="16">
        <v>2013</v>
      </c>
      <c r="J480" s="16" t="s">
        <v>3332</v>
      </c>
      <c r="K480" s="16" t="s">
        <v>3333</v>
      </c>
      <c r="L480" s="16" t="s">
        <v>15</v>
      </c>
      <c r="M480" s="16" t="s">
        <v>3334</v>
      </c>
      <c r="N480" s="16"/>
      <c r="O480" s="16"/>
    </row>
    <row r="481" spans="1:15" x14ac:dyDescent="0.3">
      <c r="A481" s="16">
        <v>480</v>
      </c>
      <c r="B481" s="16" t="s">
        <v>1641</v>
      </c>
      <c r="C481" s="16" t="str">
        <f>"V2929037662001"</f>
        <v>V2929037662001</v>
      </c>
      <c r="D481" s="16" t="s">
        <v>3335</v>
      </c>
      <c r="E481" s="16" t="s">
        <v>3287</v>
      </c>
      <c r="F481" s="21">
        <v>9781260011968</v>
      </c>
      <c r="G481" s="16" t="s">
        <v>2022</v>
      </c>
      <c r="H481" s="16" t="s">
        <v>13</v>
      </c>
      <c r="I481" s="16">
        <v>2013</v>
      </c>
      <c r="J481" s="16" t="s">
        <v>3336</v>
      </c>
      <c r="K481" s="16" t="s">
        <v>3333</v>
      </c>
      <c r="L481" s="16" t="s">
        <v>15</v>
      </c>
      <c r="M481" s="16" t="s">
        <v>3337</v>
      </c>
      <c r="N481" s="16"/>
      <c r="O481" s="16"/>
    </row>
    <row r="482" spans="1:15" x14ac:dyDescent="0.3">
      <c r="A482" s="16">
        <v>481</v>
      </c>
      <c r="B482" s="16" t="s">
        <v>1641</v>
      </c>
      <c r="C482" s="16" t="str">
        <f>"V2929037663001"</f>
        <v>V2929037663001</v>
      </c>
      <c r="D482" s="16" t="s">
        <v>3338</v>
      </c>
      <c r="E482" s="16" t="s">
        <v>3287</v>
      </c>
      <c r="F482" s="21">
        <v>9781260011968</v>
      </c>
      <c r="G482" s="16" t="s">
        <v>2022</v>
      </c>
      <c r="H482" s="16" t="s">
        <v>13</v>
      </c>
      <c r="I482" s="16">
        <v>2013</v>
      </c>
      <c r="J482" s="16" t="s">
        <v>3339</v>
      </c>
      <c r="K482" s="16" t="s">
        <v>2162</v>
      </c>
      <c r="L482" s="16" t="s">
        <v>15</v>
      </c>
      <c r="M482" s="16" t="s">
        <v>3340</v>
      </c>
      <c r="N482" s="16"/>
      <c r="O482" s="16"/>
    </row>
    <row r="483" spans="1:15" x14ac:dyDescent="0.3">
      <c r="A483" s="16">
        <v>482</v>
      </c>
      <c r="B483" s="16" t="s">
        <v>1641</v>
      </c>
      <c r="C483" s="16" t="str">
        <f>"V2929037664001"</f>
        <v>V2929037664001</v>
      </c>
      <c r="D483" s="16" t="s">
        <v>3341</v>
      </c>
      <c r="E483" s="16" t="s">
        <v>3287</v>
      </c>
      <c r="F483" s="21">
        <v>9781260011968</v>
      </c>
      <c r="G483" s="16" t="s">
        <v>2022</v>
      </c>
      <c r="H483" s="16" t="s">
        <v>13</v>
      </c>
      <c r="I483" s="16">
        <v>2013</v>
      </c>
      <c r="J483" s="16" t="s">
        <v>3342</v>
      </c>
      <c r="K483" s="16" t="s">
        <v>2170</v>
      </c>
      <c r="L483" s="16" t="s">
        <v>15</v>
      </c>
      <c r="M483" s="16" t="s">
        <v>3343</v>
      </c>
      <c r="N483" s="16"/>
      <c r="O483" s="16"/>
    </row>
    <row r="484" spans="1:15" x14ac:dyDescent="0.3">
      <c r="A484" s="16">
        <v>483</v>
      </c>
      <c r="B484" s="16" t="s">
        <v>1641</v>
      </c>
      <c r="C484" s="16" t="str">
        <f>"V2929037665001"</f>
        <v>V2929037665001</v>
      </c>
      <c r="D484" s="16" t="s">
        <v>3344</v>
      </c>
      <c r="E484" s="16" t="s">
        <v>3287</v>
      </c>
      <c r="F484" s="21">
        <v>9781260011968</v>
      </c>
      <c r="G484" s="16" t="s">
        <v>2022</v>
      </c>
      <c r="H484" s="16" t="s">
        <v>13</v>
      </c>
      <c r="I484" s="16">
        <v>2013</v>
      </c>
      <c r="J484" s="16" t="s">
        <v>3345</v>
      </c>
      <c r="K484" s="16" t="s">
        <v>3346</v>
      </c>
      <c r="L484" s="16" t="s">
        <v>15</v>
      </c>
      <c r="M484" s="16" t="s">
        <v>3347</v>
      </c>
      <c r="N484" s="16"/>
      <c r="O484" s="16"/>
    </row>
    <row r="485" spans="1:15" x14ac:dyDescent="0.3">
      <c r="A485" s="16">
        <v>484</v>
      </c>
      <c r="B485" s="16" t="s">
        <v>1641</v>
      </c>
      <c r="C485" s="16" t="str">
        <f>"V2929037666001"</f>
        <v>V2929037666001</v>
      </c>
      <c r="D485" s="16" t="s">
        <v>3348</v>
      </c>
      <c r="E485" s="16" t="s">
        <v>3287</v>
      </c>
      <c r="F485" s="21">
        <v>9781260011968</v>
      </c>
      <c r="G485" s="16" t="s">
        <v>2022</v>
      </c>
      <c r="H485" s="16" t="s">
        <v>13</v>
      </c>
      <c r="I485" s="16">
        <v>2013</v>
      </c>
      <c r="J485" s="16" t="s">
        <v>3349</v>
      </c>
      <c r="K485" s="16" t="s">
        <v>3350</v>
      </c>
      <c r="L485" s="16" t="s">
        <v>15</v>
      </c>
      <c r="M485" s="16" t="s">
        <v>3351</v>
      </c>
      <c r="N485" s="16"/>
      <c r="O485" s="16"/>
    </row>
    <row r="486" spans="1:15" x14ac:dyDescent="0.3">
      <c r="A486" s="16">
        <v>485</v>
      </c>
      <c r="B486" s="16" t="s">
        <v>1641</v>
      </c>
      <c r="C486" s="16" t="str">
        <f>"V2929037667001"</f>
        <v>V2929037667001</v>
      </c>
      <c r="D486" s="16" t="s">
        <v>3352</v>
      </c>
      <c r="E486" s="16" t="s">
        <v>3287</v>
      </c>
      <c r="F486" s="21">
        <v>9781260011968</v>
      </c>
      <c r="G486" s="16" t="s">
        <v>2022</v>
      </c>
      <c r="H486" s="16" t="s">
        <v>13</v>
      </c>
      <c r="I486" s="16">
        <v>2013</v>
      </c>
      <c r="J486" s="16" t="s">
        <v>3353</v>
      </c>
      <c r="K486" s="16" t="s">
        <v>3289</v>
      </c>
      <c r="L486" s="16" t="s">
        <v>15</v>
      </c>
      <c r="M486" s="16" t="s">
        <v>3354</v>
      </c>
      <c r="N486" s="16"/>
      <c r="O486" s="16"/>
    </row>
    <row r="487" spans="1:15" x14ac:dyDescent="0.3">
      <c r="A487" s="16">
        <v>486</v>
      </c>
      <c r="B487" s="16" t="s">
        <v>1641</v>
      </c>
      <c r="C487" s="16" t="str">
        <f>"V2929037668001"</f>
        <v>V2929037668001</v>
      </c>
      <c r="D487" s="16" t="s">
        <v>3355</v>
      </c>
      <c r="E487" s="16" t="s">
        <v>3287</v>
      </c>
      <c r="F487" s="21">
        <v>9781260011968</v>
      </c>
      <c r="G487" s="16" t="s">
        <v>2022</v>
      </c>
      <c r="H487" s="16" t="s">
        <v>13</v>
      </c>
      <c r="I487" s="16">
        <v>2013</v>
      </c>
      <c r="J487" s="16" t="s">
        <v>3356</v>
      </c>
      <c r="K487" s="16" t="s">
        <v>3289</v>
      </c>
      <c r="L487" s="16" t="s">
        <v>15</v>
      </c>
      <c r="M487" s="16" t="s">
        <v>3357</v>
      </c>
      <c r="N487" s="16"/>
      <c r="O487" s="16"/>
    </row>
    <row r="488" spans="1:15" x14ac:dyDescent="0.3">
      <c r="A488" s="16">
        <v>487</v>
      </c>
      <c r="B488" s="16" t="s">
        <v>1641</v>
      </c>
      <c r="C488" s="16" t="str">
        <f>"V2929037669001"</f>
        <v>V2929037669001</v>
      </c>
      <c r="D488" s="16" t="s">
        <v>3358</v>
      </c>
      <c r="E488" s="16" t="s">
        <v>3287</v>
      </c>
      <c r="F488" s="21">
        <v>9781260011968</v>
      </c>
      <c r="G488" s="16" t="s">
        <v>2022</v>
      </c>
      <c r="H488" s="16" t="s">
        <v>13</v>
      </c>
      <c r="I488" s="16">
        <v>2013</v>
      </c>
      <c r="J488" s="16" t="s">
        <v>3359</v>
      </c>
      <c r="K488" s="16" t="s">
        <v>2205</v>
      </c>
      <c r="L488" s="16" t="s">
        <v>15</v>
      </c>
      <c r="M488" s="16" t="s">
        <v>3360</v>
      </c>
      <c r="N488" s="16"/>
      <c r="O488" s="16"/>
    </row>
    <row r="489" spans="1:15" x14ac:dyDescent="0.3">
      <c r="A489" s="16">
        <v>488</v>
      </c>
      <c r="B489" s="16" t="s">
        <v>1641</v>
      </c>
      <c r="C489" s="16" t="str">
        <f>"V2929037670001"</f>
        <v>V2929037670001</v>
      </c>
      <c r="D489" s="16" t="s">
        <v>3361</v>
      </c>
      <c r="E489" s="16" t="s">
        <v>3287</v>
      </c>
      <c r="F489" s="21">
        <v>9781260011968</v>
      </c>
      <c r="G489" s="16" t="s">
        <v>2022</v>
      </c>
      <c r="H489" s="16" t="s">
        <v>13</v>
      </c>
      <c r="I489" s="16">
        <v>2013</v>
      </c>
      <c r="J489" s="16" t="s">
        <v>3362</v>
      </c>
      <c r="K489" s="16" t="s">
        <v>3363</v>
      </c>
      <c r="L489" s="16" t="s">
        <v>15</v>
      </c>
      <c r="M489" s="16" t="s">
        <v>3364</v>
      </c>
      <c r="N489" s="16"/>
      <c r="O489" s="16"/>
    </row>
    <row r="490" spans="1:15" x14ac:dyDescent="0.3">
      <c r="A490" s="16">
        <v>489</v>
      </c>
      <c r="B490" s="16" t="s">
        <v>1641</v>
      </c>
      <c r="C490" s="16" t="str">
        <f>"V2929150798001"</f>
        <v>V2929150798001</v>
      </c>
      <c r="D490" s="16" t="s">
        <v>3365</v>
      </c>
      <c r="E490" s="16" t="s">
        <v>3366</v>
      </c>
      <c r="F490" s="19" t="s">
        <v>3367</v>
      </c>
      <c r="G490" s="16" t="s">
        <v>2022</v>
      </c>
      <c r="H490" s="16" t="s">
        <v>13</v>
      </c>
      <c r="I490" s="16">
        <v>2013</v>
      </c>
      <c r="J490" s="16" t="s">
        <v>3368</v>
      </c>
      <c r="K490" s="16" t="s">
        <v>3369</v>
      </c>
      <c r="L490" s="16" t="s">
        <v>15</v>
      </c>
      <c r="M490" s="16" t="s">
        <v>3370</v>
      </c>
      <c r="N490" s="16"/>
      <c r="O490" s="16"/>
    </row>
    <row r="491" spans="1:15" x14ac:dyDescent="0.3">
      <c r="A491" s="16">
        <v>490</v>
      </c>
      <c r="B491" s="16" t="s">
        <v>1641</v>
      </c>
      <c r="C491" s="16" t="str">
        <f>"V2929150799001"</f>
        <v>V2929150799001</v>
      </c>
      <c r="D491" s="16" t="s">
        <v>3371</v>
      </c>
      <c r="E491" s="16" t="s">
        <v>3366</v>
      </c>
      <c r="F491" s="19" t="s">
        <v>3367</v>
      </c>
      <c r="G491" s="16" t="s">
        <v>2022</v>
      </c>
      <c r="H491" s="16" t="s">
        <v>13</v>
      </c>
      <c r="I491" s="16">
        <v>2013</v>
      </c>
      <c r="J491" s="16" t="s">
        <v>3372</v>
      </c>
      <c r="K491" s="16" t="s">
        <v>3369</v>
      </c>
      <c r="L491" s="16" t="s">
        <v>15</v>
      </c>
      <c r="M491" s="16" t="s">
        <v>3373</v>
      </c>
      <c r="N491" s="16"/>
      <c r="O491" s="16"/>
    </row>
    <row r="492" spans="1:15" x14ac:dyDescent="0.3">
      <c r="A492" s="16">
        <v>491</v>
      </c>
      <c r="B492" s="16" t="s">
        <v>1641</v>
      </c>
      <c r="C492" s="16" t="str">
        <f>"V2929150800001"</f>
        <v>V2929150800001</v>
      </c>
      <c r="D492" s="16" t="s">
        <v>3374</v>
      </c>
      <c r="E492" s="16" t="s">
        <v>3366</v>
      </c>
      <c r="F492" s="19" t="s">
        <v>3367</v>
      </c>
      <c r="G492" s="16" t="s">
        <v>2022</v>
      </c>
      <c r="H492" s="16" t="s">
        <v>13</v>
      </c>
      <c r="I492" s="16">
        <v>2013</v>
      </c>
      <c r="J492" s="16" t="s">
        <v>3375</v>
      </c>
      <c r="K492" s="16" t="s">
        <v>20</v>
      </c>
      <c r="L492" s="16" t="s">
        <v>15</v>
      </c>
      <c r="M492" s="16" t="s">
        <v>3376</v>
      </c>
      <c r="N492" s="16"/>
      <c r="O492" s="16"/>
    </row>
    <row r="493" spans="1:15" x14ac:dyDescent="0.3">
      <c r="A493" s="16">
        <v>492</v>
      </c>
      <c r="B493" s="16" t="s">
        <v>1641</v>
      </c>
      <c r="C493" s="16" t="str">
        <f>"V2929150801001"</f>
        <v>V2929150801001</v>
      </c>
      <c r="D493" s="16" t="s">
        <v>3377</v>
      </c>
      <c r="E493" s="16" t="s">
        <v>3366</v>
      </c>
      <c r="F493" s="19" t="s">
        <v>3367</v>
      </c>
      <c r="G493" s="16" t="s">
        <v>2022</v>
      </c>
      <c r="H493" s="16" t="s">
        <v>13</v>
      </c>
      <c r="I493" s="16">
        <v>2013</v>
      </c>
      <c r="J493" s="16" t="s">
        <v>3378</v>
      </c>
      <c r="K493" s="16" t="s">
        <v>3379</v>
      </c>
      <c r="L493" s="16" t="s">
        <v>15</v>
      </c>
      <c r="M493" s="16" t="s">
        <v>3380</v>
      </c>
      <c r="N493" s="16"/>
      <c r="O493" s="16"/>
    </row>
    <row r="494" spans="1:15" x14ac:dyDescent="0.3">
      <c r="A494" s="16">
        <v>493</v>
      </c>
      <c r="B494" s="16" t="s">
        <v>1641</v>
      </c>
      <c r="C494" s="16" t="str">
        <f>"V2929150802001"</f>
        <v>V2929150802001</v>
      </c>
      <c r="D494" s="16" t="s">
        <v>3381</v>
      </c>
      <c r="E494" s="16" t="s">
        <v>3366</v>
      </c>
      <c r="F494" s="19" t="s">
        <v>3367</v>
      </c>
      <c r="G494" s="16" t="s">
        <v>2022</v>
      </c>
      <c r="H494" s="16" t="s">
        <v>13</v>
      </c>
      <c r="I494" s="16">
        <v>2013</v>
      </c>
      <c r="J494" s="16" t="s">
        <v>3382</v>
      </c>
      <c r="K494" s="16" t="s">
        <v>3369</v>
      </c>
      <c r="L494" s="16" t="s">
        <v>15</v>
      </c>
      <c r="M494" s="16" t="s">
        <v>3383</v>
      </c>
      <c r="N494" s="16"/>
      <c r="O494" s="16"/>
    </row>
    <row r="495" spans="1:15" x14ac:dyDescent="0.3">
      <c r="A495" s="16">
        <v>494</v>
      </c>
      <c r="B495" s="16" t="s">
        <v>1641</v>
      </c>
      <c r="C495" s="16" t="str">
        <f>"V2929150803001"</f>
        <v>V2929150803001</v>
      </c>
      <c r="D495" s="16" t="s">
        <v>3384</v>
      </c>
      <c r="E495" s="16" t="s">
        <v>3366</v>
      </c>
      <c r="F495" s="19" t="s">
        <v>3367</v>
      </c>
      <c r="G495" s="16" t="s">
        <v>2022</v>
      </c>
      <c r="H495" s="16" t="s">
        <v>13</v>
      </c>
      <c r="I495" s="16">
        <v>2013</v>
      </c>
      <c r="J495" s="16" t="s">
        <v>3385</v>
      </c>
      <c r="K495" s="16" t="s">
        <v>3386</v>
      </c>
      <c r="L495" s="16" t="s">
        <v>15</v>
      </c>
      <c r="M495" s="16" t="s">
        <v>3387</v>
      </c>
      <c r="N495" s="16"/>
      <c r="O495" s="16"/>
    </row>
    <row r="496" spans="1:15" x14ac:dyDescent="0.3">
      <c r="A496" s="16">
        <v>495</v>
      </c>
      <c r="B496" s="16" t="s">
        <v>1641</v>
      </c>
      <c r="C496" s="16" t="str">
        <f>"V2929150804001"</f>
        <v>V2929150804001</v>
      </c>
      <c r="D496" s="16" t="s">
        <v>3388</v>
      </c>
      <c r="E496" s="16" t="s">
        <v>3366</v>
      </c>
      <c r="F496" s="19" t="s">
        <v>3367</v>
      </c>
      <c r="G496" s="16" t="s">
        <v>2022</v>
      </c>
      <c r="H496" s="16" t="s">
        <v>13</v>
      </c>
      <c r="I496" s="16">
        <v>2013</v>
      </c>
      <c r="J496" s="16" t="s">
        <v>3389</v>
      </c>
      <c r="K496" s="16" t="s">
        <v>2090</v>
      </c>
      <c r="L496" s="16" t="s">
        <v>15</v>
      </c>
      <c r="M496" s="16" t="s">
        <v>3390</v>
      </c>
      <c r="N496" s="16"/>
      <c r="O496" s="16"/>
    </row>
    <row r="497" spans="1:15" x14ac:dyDescent="0.3">
      <c r="A497" s="16">
        <v>496</v>
      </c>
      <c r="B497" s="16" t="s">
        <v>1641</v>
      </c>
      <c r="C497" s="16" t="str">
        <f>"V2929150805001"</f>
        <v>V2929150805001</v>
      </c>
      <c r="D497" s="16" t="s">
        <v>3391</v>
      </c>
      <c r="E497" s="16" t="s">
        <v>3366</v>
      </c>
      <c r="F497" s="19" t="s">
        <v>3367</v>
      </c>
      <c r="G497" s="16" t="s">
        <v>2022</v>
      </c>
      <c r="H497" s="16" t="s">
        <v>13</v>
      </c>
      <c r="I497" s="16">
        <v>2013</v>
      </c>
      <c r="J497" s="16" t="s">
        <v>3392</v>
      </c>
      <c r="K497" s="16" t="s">
        <v>2090</v>
      </c>
      <c r="L497" s="16" t="s">
        <v>15</v>
      </c>
      <c r="M497" s="16" t="s">
        <v>3393</v>
      </c>
      <c r="N497" s="16"/>
      <c r="O497" s="16"/>
    </row>
    <row r="498" spans="1:15" x14ac:dyDescent="0.3">
      <c r="A498" s="16">
        <v>497</v>
      </c>
      <c r="B498" s="16" t="s">
        <v>1641</v>
      </c>
      <c r="C498" s="16" t="str">
        <f>"V2929150806001"</f>
        <v>V2929150806001</v>
      </c>
      <c r="D498" s="16" t="s">
        <v>3394</v>
      </c>
      <c r="E498" s="16" t="s">
        <v>3366</v>
      </c>
      <c r="F498" s="19" t="s">
        <v>3367</v>
      </c>
      <c r="G498" s="16" t="s">
        <v>2022</v>
      </c>
      <c r="H498" s="16" t="s">
        <v>13</v>
      </c>
      <c r="I498" s="16">
        <v>2013</v>
      </c>
      <c r="J498" s="16" t="s">
        <v>3395</v>
      </c>
      <c r="K498" s="16" t="s">
        <v>2090</v>
      </c>
      <c r="L498" s="16" t="s">
        <v>15</v>
      </c>
      <c r="M498" s="16" t="s">
        <v>3396</v>
      </c>
      <c r="N498" s="16"/>
      <c r="O498" s="16"/>
    </row>
    <row r="499" spans="1:15" x14ac:dyDescent="0.3">
      <c r="A499" s="16">
        <v>498</v>
      </c>
      <c r="B499" s="16" t="s">
        <v>1641</v>
      </c>
      <c r="C499" s="16" t="str">
        <f>"V2929150807001"</f>
        <v>V2929150807001</v>
      </c>
      <c r="D499" s="16" t="s">
        <v>3397</v>
      </c>
      <c r="E499" s="16" t="s">
        <v>3366</v>
      </c>
      <c r="F499" s="19" t="s">
        <v>3367</v>
      </c>
      <c r="G499" s="16" t="s">
        <v>2022</v>
      </c>
      <c r="H499" s="16" t="s">
        <v>13</v>
      </c>
      <c r="I499" s="16">
        <v>2013</v>
      </c>
      <c r="J499" s="16" t="s">
        <v>3398</v>
      </c>
      <c r="K499" s="16" t="s">
        <v>2090</v>
      </c>
      <c r="L499" s="16" t="s">
        <v>15</v>
      </c>
      <c r="M499" s="16" t="s">
        <v>3399</v>
      </c>
      <c r="N499" s="16"/>
      <c r="O499" s="16"/>
    </row>
    <row r="500" spans="1:15" x14ac:dyDescent="0.3">
      <c r="A500" s="16">
        <v>499</v>
      </c>
      <c r="B500" s="16" t="s">
        <v>1641</v>
      </c>
      <c r="C500" s="16" t="str">
        <f>"V2929150808001"</f>
        <v>V2929150808001</v>
      </c>
      <c r="D500" s="16" t="s">
        <v>3400</v>
      </c>
      <c r="E500" s="16" t="s">
        <v>3366</v>
      </c>
      <c r="F500" s="19" t="s">
        <v>3367</v>
      </c>
      <c r="G500" s="16" t="s">
        <v>2022</v>
      </c>
      <c r="H500" s="16" t="s">
        <v>13</v>
      </c>
      <c r="I500" s="16">
        <v>2013</v>
      </c>
      <c r="J500" s="16" t="s">
        <v>3401</v>
      </c>
      <c r="K500" s="16" t="s">
        <v>2090</v>
      </c>
      <c r="L500" s="16" t="s">
        <v>15</v>
      </c>
      <c r="M500" s="16" t="s">
        <v>3402</v>
      </c>
      <c r="N500" s="16"/>
      <c r="O500" s="16"/>
    </row>
    <row r="501" spans="1:15" x14ac:dyDescent="0.3">
      <c r="A501" s="16">
        <v>500</v>
      </c>
      <c r="B501" s="16" t="s">
        <v>1641</v>
      </c>
      <c r="C501" s="16" t="str">
        <f>"V2929150809001"</f>
        <v>V2929150809001</v>
      </c>
      <c r="D501" s="16" t="s">
        <v>3403</v>
      </c>
      <c r="E501" s="16" t="s">
        <v>3366</v>
      </c>
      <c r="F501" s="19" t="s">
        <v>3367</v>
      </c>
      <c r="G501" s="16" t="s">
        <v>2022</v>
      </c>
      <c r="H501" s="16" t="s">
        <v>13</v>
      </c>
      <c r="I501" s="16">
        <v>2013</v>
      </c>
      <c r="J501" s="16" t="s">
        <v>3404</v>
      </c>
      <c r="K501" s="16" t="s">
        <v>2090</v>
      </c>
      <c r="L501" s="16" t="s">
        <v>15</v>
      </c>
      <c r="M501" s="16" t="s">
        <v>3405</v>
      </c>
      <c r="N501" s="16"/>
      <c r="O501" s="16"/>
    </row>
    <row r="502" spans="1:15" x14ac:dyDescent="0.3">
      <c r="A502" s="16">
        <v>501</v>
      </c>
      <c r="B502" s="16" t="s">
        <v>1641</v>
      </c>
      <c r="C502" s="16" t="str">
        <f>"V2929150810001"</f>
        <v>V2929150810001</v>
      </c>
      <c r="D502" s="16" t="s">
        <v>3406</v>
      </c>
      <c r="E502" s="16" t="s">
        <v>3366</v>
      </c>
      <c r="F502" s="19" t="s">
        <v>3367</v>
      </c>
      <c r="G502" s="16" t="s">
        <v>2022</v>
      </c>
      <c r="H502" s="16" t="s">
        <v>13</v>
      </c>
      <c r="I502" s="16">
        <v>2013</v>
      </c>
      <c r="J502" s="16" t="s">
        <v>3407</v>
      </c>
      <c r="K502" s="16" t="s">
        <v>3408</v>
      </c>
      <c r="L502" s="16" t="s">
        <v>15</v>
      </c>
      <c r="M502" s="16" t="s">
        <v>3409</v>
      </c>
      <c r="N502" s="16"/>
      <c r="O502" s="16"/>
    </row>
    <row r="503" spans="1:15" x14ac:dyDescent="0.3">
      <c r="A503" s="16">
        <v>502</v>
      </c>
      <c r="B503" s="16" t="s">
        <v>1641</v>
      </c>
      <c r="C503" s="16" t="str">
        <f>"V2929150811001"</f>
        <v>V2929150811001</v>
      </c>
      <c r="D503" s="16" t="s">
        <v>3410</v>
      </c>
      <c r="E503" s="16" t="s">
        <v>3366</v>
      </c>
      <c r="F503" s="19" t="s">
        <v>3367</v>
      </c>
      <c r="G503" s="16" t="s">
        <v>2022</v>
      </c>
      <c r="H503" s="16" t="s">
        <v>13</v>
      </c>
      <c r="I503" s="16">
        <v>2013</v>
      </c>
      <c r="J503" s="16" t="s">
        <v>3411</v>
      </c>
      <c r="K503" s="16" t="s">
        <v>3412</v>
      </c>
      <c r="L503" s="16" t="s">
        <v>15</v>
      </c>
      <c r="M503" s="16" t="s">
        <v>3413</v>
      </c>
      <c r="N503" s="16"/>
      <c r="O503" s="16"/>
    </row>
    <row r="504" spans="1:15" x14ac:dyDescent="0.3">
      <c r="A504" s="16">
        <v>503</v>
      </c>
      <c r="B504" s="16" t="s">
        <v>1641</v>
      </c>
      <c r="C504" s="16" t="str">
        <f>"V2929150812001"</f>
        <v>V2929150812001</v>
      </c>
      <c r="D504" s="16" t="s">
        <v>3414</v>
      </c>
      <c r="E504" s="16" t="s">
        <v>3366</v>
      </c>
      <c r="F504" s="19" t="s">
        <v>3367</v>
      </c>
      <c r="G504" s="16" t="s">
        <v>2022</v>
      </c>
      <c r="H504" s="16" t="s">
        <v>13</v>
      </c>
      <c r="I504" s="16">
        <v>2013</v>
      </c>
      <c r="J504" s="16" t="s">
        <v>3415</v>
      </c>
      <c r="K504" s="16" t="s">
        <v>3412</v>
      </c>
      <c r="L504" s="16" t="s">
        <v>15</v>
      </c>
      <c r="M504" s="16" t="s">
        <v>3416</v>
      </c>
      <c r="N504" s="16"/>
      <c r="O504" s="16"/>
    </row>
    <row r="505" spans="1:15" x14ac:dyDescent="0.3">
      <c r="A505" s="16">
        <v>504</v>
      </c>
      <c r="B505" s="16" t="s">
        <v>1641</v>
      </c>
      <c r="C505" s="16" t="str">
        <f>"V2929150813001"</f>
        <v>V2929150813001</v>
      </c>
      <c r="D505" s="16" t="s">
        <v>3417</v>
      </c>
      <c r="E505" s="16" t="s">
        <v>3366</v>
      </c>
      <c r="F505" s="19" t="s">
        <v>3367</v>
      </c>
      <c r="G505" s="16" t="s">
        <v>2022</v>
      </c>
      <c r="H505" s="16" t="s">
        <v>13</v>
      </c>
      <c r="I505" s="16">
        <v>2013</v>
      </c>
      <c r="J505" s="16" t="s">
        <v>3418</v>
      </c>
      <c r="K505" s="16" t="s">
        <v>2090</v>
      </c>
      <c r="L505" s="16" t="s">
        <v>15</v>
      </c>
      <c r="M505" s="16" t="s">
        <v>3419</v>
      </c>
      <c r="N505" s="16"/>
      <c r="O505" s="16"/>
    </row>
    <row r="506" spans="1:15" x14ac:dyDescent="0.3">
      <c r="A506" s="16">
        <v>505</v>
      </c>
      <c r="B506" s="16" t="s">
        <v>1641</v>
      </c>
      <c r="C506" s="16" t="str">
        <f>"V2929150814001"</f>
        <v>V2929150814001</v>
      </c>
      <c r="D506" s="16" t="s">
        <v>3420</v>
      </c>
      <c r="E506" s="16" t="s">
        <v>3366</v>
      </c>
      <c r="F506" s="19" t="s">
        <v>3367</v>
      </c>
      <c r="G506" s="16" t="s">
        <v>2022</v>
      </c>
      <c r="H506" s="16" t="s">
        <v>13</v>
      </c>
      <c r="I506" s="16">
        <v>2013</v>
      </c>
      <c r="J506" s="16" t="s">
        <v>3421</v>
      </c>
      <c r="K506" s="16" t="s">
        <v>3412</v>
      </c>
      <c r="L506" s="16" t="s">
        <v>15</v>
      </c>
      <c r="M506" s="16" t="s">
        <v>3422</v>
      </c>
      <c r="N506" s="16"/>
      <c r="O506" s="16"/>
    </row>
    <row r="507" spans="1:15" x14ac:dyDescent="0.3">
      <c r="A507" s="16">
        <v>506</v>
      </c>
      <c r="B507" s="16" t="s">
        <v>1641</v>
      </c>
      <c r="C507" s="16" t="str">
        <f>"V2929150815001"</f>
        <v>V2929150815001</v>
      </c>
      <c r="D507" s="16" t="s">
        <v>3423</v>
      </c>
      <c r="E507" s="16" t="s">
        <v>3366</v>
      </c>
      <c r="F507" s="19" t="s">
        <v>3367</v>
      </c>
      <c r="G507" s="16" t="s">
        <v>2022</v>
      </c>
      <c r="H507" s="16" t="s">
        <v>13</v>
      </c>
      <c r="I507" s="16">
        <v>2013</v>
      </c>
      <c r="J507" s="16" t="s">
        <v>3424</v>
      </c>
      <c r="K507" s="16" t="s">
        <v>2090</v>
      </c>
      <c r="L507" s="16" t="s">
        <v>15</v>
      </c>
      <c r="M507" s="16" t="s">
        <v>3425</v>
      </c>
      <c r="N507" s="16"/>
      <c r="O507" s="16"/>
    </row>
    <row r="508" spans="1:15" x14ac:dyDescent="0.3">
      <c r="A508" s="16">
        <v>507</v>
      </c>
      <c r="B508" s="16" t="s">
        <v>1641</v>
      </c>
      <c r="C508" s="16" t="str">
        <f>"V2929150816001"</f>
        <v>V2929150816001</v>
      </c>
      <c r="D508" s="16" t="s">
        <v>3426</v>
      </c>
      <c r="E508" s="16" t="s">
        <v>3366</v>
      </c>
      <c r="F508" s="19" t="s">
        <v>3367</v>
      </c>
      <c r="G508" s="16" t="s">
        <v>2022</v>
      </c>
      <c r="H508" s="16" t="s">
        <v>13</v>
      </c>
      <c r="I508" s="16">
        <v>2013</v>
      </c>
      <c r="J508" s="16" t="s">
        <v>3427</v>
      </c>
      <c r="K508" s="16" t="s">
        <v>2162</v>
      </c>
      <c r="L508" s="16" t="s">
        <v>15</v>
      </c>
      <c r="M508" s="16" t="s">
        <v>3428</v>
      </c>
      <c r="N508" s="16"/>
      <c r="O508" s="16"/>
    </row>
    <row r="509" spans="1:15" x14ac:dyDescent="0.3">
      <c r="A509" s="16">
        <v>508</v>
      </c>
      <c r="B509" s="16" t="s">
        <v>1641</v>
      </c>
      <c r="C509" s="16" t="str">
        <f>"V2929150817001"</f>
        <v>V2929150817001</v>
      </c>
      <c r="D509" s="16" t="s">
        <v>3429</v>
      </c>
      <c r="E509" s="16" t="s">
        <v>3366</v>
      </c>
      <c r="F509" s="19" t="s">
        <v>3367</v>
      </c>
      <c r="G509" s="16" t="s">
        <v>2022</v>
      </c>
      <c r="H509" s="16" t="s">
        <v>13</v>
      </c>
      <c r="I509" s="16">
        <v>2013</v>
      </c>
      <c r="J509" s="16" t="s">
        <v>3430</v>
      </c>
      <c r="K509" s="16" t="s">
        <v>3369</v>
      </c>
      <c r="L509" s="16" t="s">
        <v>15</v>
      </c>
      <c r="M509" s="16" t="s">
        <v>3431</v>
      </c>
      <c r="N509" s="16"/>
      <c r="O509" s="16"/>
    </row>
    <row r="510" spans="1:15" x14ac:dyDescent="0.3">
      <c r="A510" s="16">
        <v>509</v>
      </c>
      <c r="B510" s="16" t="s">
        <v>1641</v>
      </c>
      <c r="C510" s="16" t="str">
        <f>"V2939922910001"</f>
        <v>V2939922910001</v>
      </c>
      <c r="D510" s="16" t="s">
        <v>3432</v>
      </c>
      <c r="E510" s="16" t="s">
        <v>3433</v>
      </c>
      <c r="F510" s="19" t="s">
        <v>3434</v>
      </c>
      <c r="G510" s="16" t="s">
        <v>3435</v>
      </c>
      <c r="H510" s="16" t="s">
        <v>13</v>
      </c>
      <c r="I510" s="16">
        <v>2013</v>
      </c>
      <c r="J510" s="16" t="s">
        <v>3436</v>
      </c>
      <c r="K510" s="16" t="s">
        <v>566</v>
      </c>
      <c r="L510" s="16" t="s">
        <v>15</v>
      </c>
      <c r="M510" s="16" t="s">
        <v>3437</v>
      </c>
      <c r="N510" s="16"/>
      <c r="O510" s="16"/>
    </row>
    <row r="511" spans="1:15" x14ac:dyDescent="0.3">
      <c r="A511" s="16">
        <v>510</v>
      </c>
      <c r="B511" s="16" t="s">
        <v>1641</v>
      </c>
      <c r="C511" s="16" t="str">
        <f>"V2939922911001"</f>
        <v>V2939922911001</v>
      </c>
      <c r="D511" s="16" t="s">
        <v>3438</v>
      </c>
      <c r="E511" s="16" t="s">
        <v>3433</v>
      </c>
      <c r="F511" s="19" t="s">
        <v>3434</v>
      </c>
      <c r="G511" s="16" t="s">
        <v>3435</v>
      </c>
      <c r="H511" s="16" t="s">
        <v>13</v>
      </c>
      <c r="I511" s="16">
        <v>2013</v>
      </c>
      <c r="J511" s="16" t="s">
        <v>3439</v>
      </c>
      <c r="K511" s="16" t="s">
        <v>1711</v>
      </c>
      <c r="L511" s="16" t="s">
        <v>15</v>
      </c>
      <c r="M511" s="16" t="s">
        <v>3440</v>
      </c>
      <c r="N511" s="16"/>
      <c r="O511" s="16"/>
    </row>
    <row r="512" spans="1:15" x14ac:dyDescent="0.3">
      <c r="A512" s="16">
        <v>511</v>
      </c>
      <c r="B512" s="16" t="s">
        <v>1641</v>
      </c>
      <c r="C512" s="16" t="str">
        <f>"V2939922912001"</f>
        <v>V2939922912001</v>
      </c>
      <c r="D512" s="16" t="s">
        <v>3441</v>
      </c>
      <c r="E512" s="16" t="s">
        <v>3433</v>
      </c>
      <c r="F512" s="19" t="s">
        <v>3434</v>
      </c>
      <c r="G512" s="16" t="s">
        <v>3435</v>
      </c>
      <c r="H512" s="16" t="s">
        <v>13</v>
      </c>
      <c r="I512" s="16">
        <v>2013</v>
      </c>
      <c r="J512" s="16" t="s">
        <v>3442</v>
      </c>
      <c r="K512" s="16" t="s">
        <v>740</v>
      </c>
      <c r="L512" s="16" t="s">
        <v>15</v>
      </c>
      <c r="M512" s="16" t="s">
        <v>3443</v>
      </c>
      <c r="N512" s="16"/>
      <c r="O512" s="16"/>
    </row>
    <row r="513" spans="1:15" x14ac:dyDescent="0.3">
      <c r="A513" s="16">
        <v>512</v>
      </c>
      <c r="B513" s="16" t="s">
        <v>1641</v>
      </c>
      <c r="C513" s="16" t="str">
        <f>"V2939922913001"</f>
        <v>V2939922913001</v>
      </c>
      <c r="D513" s="16" t="s">
        <v>3444</v>
      </c>
      <c r="E513" s="16" t="s">
        <v>3433</v>
      </c>
      <c r="F513" s="19" t="s">
        <v>3434</v>
      </c>
      <c r="G513" s="16" t="s">
        <v>3435</v>
      </c>
      <c r="H513" s="16" t="s">
        <v>13</v>
      </c>
      <c r="I513" s="16">
        <v>2013</v>
      </c>
      <c r="J513" s="16" t="s">
        <v>3445</v>
      </c>
      <c r="K513" s="16" t="s">
        <v>1711</v>
      </c>
      <c r="L513" s="16" t="s">
        <v>15</v>
      </c>
      <c r="M513" s="16" t="s">
        <v>3446</v>
      </c>
      <c r="N513" s="16"/>
      <c r="O513" s="16"/>
    </row>
    <row r="514" spans="1:15" x14ac:dyDescent="0.3">
      <c r="A514" s="16">
        <v>513</v>
      </c>
      <c r="B514" s="16" t="s">
        <v>1641</v>
      </c>
      <c r="C514" s="16" t="str">
        <f>"V2939922914001"</f>
        <v>V2939922914001</v>
      </c>
      <c r="D514" s="16" t="s">
        <v>3447</v>
      </c>
      <c r="E514" s="16" t="s">
        <v>3433</v>
      </c>
      <c r="F514" s="19" t="s">
        <v>3434</v>
      </c>
      <c r="G514" s="16" t="s">
        <v>3435</v>
      </c>
      <c r="H514" s="16" t="s">
        <v>13</v>
      </c>
      <c r="I514" s="16">
        <v>2013</v>
      </c>
      <c r="J514" s="16" t="s">
        <v>3448</v>
      </c>
      <c r="K514" s="16" t="s">
        <v>2176</v>
      </c>
      <c r="L514" s="16" t="s">
        <v>15</v>
      </c>
      <c r="M514" s="16" t="s">
        <v>3449</v>
      </c>
      <c r="N514" s="16"/>
      <c r="O514" s="16"/>
    </row>
    <row r="515" spans="1:15" x14ac:dyDescent="0.3">
      <c r="A515" s="16">
        <v>514</v>
      </c>
      <c r="B515" s="16" t="s">
        <v>1641</v>
      </c>
      <c r="C515" s="16" t="str">
        <f>"V2939922915001"</f>
        <v>V2939922915001</v>
      </c>
      <c r="D515" s="16" t="s">
        <v>3450</v>
      </c>
      <c r="E515" s="16" t="s">
        <v>3433</v>
      </c>
      <c r="F515" s="19" t="s">
        <v>3434</v>
      </c>
      <c r="G515" s="16" t="s">
        <v>3435</v>
      </c>
      <c r="H515" s="16" t="s">
        <v>13</v>
      </c>
      <c r="I515" s="16">
        <v>2013</v>
      </c>
      <c r="J515" s="16" t="s">
        <v>3451</v>
      </c>
      <c r="K515" s="16" t="s">
        <v>1711</v>
      </c>
      <c r="L515" s="16" t="s">
        <v>15</v>
      </c>
      <c r="M515" s="16" t="s">
        <v>3452</v>
      </c>
      <c r="N515" s="16"/>
      <c r="O515" s="16"/>
    </row>
    <row r="516" spans="1:15" x14ac:dyDescent="0.3">
      <c r="A516" s="16">
        <v>515</v>
      </c>
      <c r="B516" s="16" t="s">
        <v>1641</v>
      </c>
      <c r="C516" s="16" t="str">
        <f>"V2939922916001"</f>
        <v>V2939922916001</v>
      </c>
      <c r="D516" s="16" t="s">
        <v>3453</v>
      </c>
      <c r="E516" s="16" t="s">
        <v>3433</v>
      </c>
      <c r="F516" s="19" t="s">
        <v>3434</v>
      </c>
      <c r="G516" s="16" t="s">
        <v>3435</v>
      </c>
      <c r="H516" s="16" t="s">
        <v>13</v>
      </c>
      <c r="I516" s="16">
        <v>2013</v>
      </c>
      <c r="J516" s="16" t="s">
        <v>3454</v>
      </c>
      <c r="K516" s="16" t="s">
        <v>1711</v>
      </c>
      <c r="L516" s="16" t="s">
        <v>15</v>
      </c>
      <c r="M516" s="16" t="s">
        <v>3455</v>
      </c>
      <c r="N516" s="16"/>
      <c r="O516" s="16"/>
    </row>
    <row r="517" spans="1:15" x14ac:dyDescent="0.3">
      <c r="A517" s="16">
        <v>516</v>
      </c>
      <c r="B517" s="16" t="s">
        <v>1641</v>
      </c>
      <c r="C517" s="16" t="str">
        <f>"V2939922917001"</f>
        <v>V2939922917001</v>
      </c>
      <c r="D517" s="16" t="s">
        <v>3456</v>
      </c>
      <c r="E517" s="16" t="s">
        <v>3433</v>
      </c>
      <c r="F517" s="19" t="s">
        <v>3434</v>
      </c>
      <c r="G517" s="16" t="s">
        <v>3435</v>
      </c>
      <c r="H517" s="16" t="s">
        <v>13</v>
      </c>
      <c r="I517" s="16">
        <v>2013</v>
      </c>
      <c r="J517" s="16" t="s">
        <v>3457</v>
      </c>
      <c r="K517" s="16" t="s">
        <v>3458</v>
      </c>
      <c r="L517" s="16" t="s">
        <v>15</v>
      </c>
      <c r="M517" s="16" t="s">
        <v>3459</v>
      </c>
      <c r="N517" s="16"/>
      <c r="O517" s="16"/>
    </row>
    <row r="518" spans="1:15" x14ac:dyDescent="0.3">
      <c r="A518" s="16">
        <v>517</v>
      </c>
      <c r="B518" s="16" t="s">
        <v>1641</v>
      </c>
      <c r="C518" s="16" t="str">
        <f>"V2939922918001"</f>
        <v>V2939922918001</v>
      </c>
      <c r="D518" s="16" t="s">
        <v>3460</v>
      </c>
      <c r="E518" s="16" t="s">
        <v>3433</v>
      </c>
      <c r="F518" s="19" t="s">
        <v>3434</v>
      </c>
      <c r="G518" s="16" t="s">
        <v>3435</v>
      </c>
      <c r="H518" s="16" t="s">
        <v>13</v>
      </c>
      <c r="I518" s="16">
        <v>2013</v>
      </c>
      <c r="J518" s="16" t="s">
        <v>3461</v>
      </c>
      <c r="K518" s="16" t="s">
        <v>3462</v>
      </c>
      <c r="L518" s="16" t="s">
        <v>15</v>
      </c>
      <c r="M518" s="16" t="s">
        <v>3463</v>
      </c>
      <c r="N518" s="16"/>
      <c r="O518" s="16"/>
    </row>
    <row r="519" spans="1:15" x14ac:dyDescent="0.3">
      <c r="A519" s="16">
        <v>518</v>
      </c>
      <c r="B519" s="16" t="s">
        <v>1641</v>
      </c>
      <c r="C519" s="16" t="str">
        <f>"V2939922919001"</f>
        <v>V2939922919001</v>
      </c>
      <c r="D519" s="16" t="s">
        <v>3464</v>
      </c>
      <c r="E519" s="16" t="s">
        <v>3433</v>
      </c>
      <c r="F519" s="19" t="s">
        <v>3434</v>
      </c>
      <c r="G519" s="16" t="s">
        <v>3435</v>
      </c>
      <c r="H519" s="16" t="s">
        <v>13</v>
      </c>
      <c r="I519" s="16">
        <v>2013</v>
      </c>
      <c r="J519" s="16" t="s">
        <v>3465</v>
      </c>
      <c r="K519" s="16" t="s">
        <v>3466</v>
      </c>
      <c r="L519" s="16" t="s">
        <v>15</v>
      </c>
      <c r="M519" s="16" t="s">
        <v>3467</v>
      </c>
      <c r="N519" s="16"/>
      <c r="O519" s="16"/>
    </row>
    <row r="520" spans="1:15" x14ac:dyDescent="0.3">
      <c r="A520" s="16">
        <v>519</v>
      </c>
      <c r="B520" s="16" t="s">
        <v>1641</v>
      </c>
      <c r="C520" s="16" t="str">
        <f>"V2939922920001"</f>
        <v>V2939922920001</v>
      </c>
      <c r="D520" s="16" t="s">
        <v>3468</v>
      </c>
      <c r="E520" s="16" t="s">
        <v>3433</v>
      </c>
      <c r="F520" s="19" t="s">
        <v>3434</v>
      </c>
      <c r="G520" s="16" t="s">
        <v>3435</v>
      </c>
      <c r="H520" s="16" t="s">
        <v>13</v>
      </c>
      <c r="I520" s="16">
        <v>2013</v>
      </c>
      <c r="J520" s="16" t="s">
        <v>3469</v>
      </c>
      <c r="K520" s="16" t="s">
        <v>1711</v>
      </c>
      <c r="L520" s="16" t="s">
        <v>15</v>
      </c>
      <c r="M520" s="16" t="s">
        <v>3470</v>
      </c>
      <c r="N520" s="16"/>
      <c r="O520" s="16"/>
    </row>
    <row r="521" spans="1:15" x14ac:dyDescent="0.3">
      <c r="A521" s="16">
        <v>520</v>
      </c>
      <c r="B521" s="16" t="s">
        <v>1641</v>
      </c>
      <c r="C521" s="16" t="str">
        <f>"V2939922921001"</f>
        <v>V2939922921001</v>
      </c>
      <c r="D521" s="16" t="s">
        <v>3471</v>
      </c>
      <c r="E521" s="16" t="s">
        <v>3433</v>
      </c>
      <c r="F521" s="19" t="s">
        <v>3434</v>
      </c>
      <c r="G521" s="16" t="s">
        <v>3435</v>
      </c>
      <c r="H521" s="16" t="s">
        <v>13</v>
      </c>
      <c r="I521" s="16">
        <v>2013</v>
      </c>
      <c r="J521" s="16" t="s">
        <v>3472</v>
      </c>
      <c r="K521" s="16" t="s">
        <v>3473</v>
      </c>
      <c r="L521" s="16" t="s">
        <v>15</v>
      </c>
      <c r="M521" s="16" t="s">
        <v>3474</v>
      </c>
      <c r="N521" s="16"/>
      <c r="O521" s="16"/>
    </row>
    <row r="522" spans="1:15" x14ac:dyDescent="0.3">
      <c r="A522" s="16">
        <v>521</v>
      </c>
      <c r="B522" s="16" t="s">
        <v>1641</v>
      </c>
      <c r="C522" s="16" t="str">
        <f>"V2939922922001"</f>
        <v>V2939922922001</v>
      </c>
      <c r="D522" s="16" t="s">
        <v>3475</v>
      </c>
      <c r="E522" s="16" t="s">
        <v>3433</v>
      </c>
      <c r="F522" s="19" t="s">
        <v>3434</v>
      </c>
      <c r="G522" s="16" t="s">
        <v>3435</v>
      </c>
      <c r="H522" s="16" t="s">
        <v>13</v>
      </c>
      <c r="I522" s="16">
        <v>2013</v>
      </c>
      <c r="J522" s="16" t="s">
        <v>3476</v>
      </c>
      <c r="K522" s="16" t="s">
        <v>2899</v>
      </c>
      <c r="L522" s="16" t="s">
        <v>15</v>
      </c>
      <c r="M522" s="16" t="s">
        <v>3477</v>
      </c>
      <c r="N522" s="16"/>
      <c r="O522" s="16"/>
    </row>
    <row r="523" spans="1:15" x14ac:dyDescent="0.3">
      <c r="A523" s="16">
        <v>522</v>
      </c>
      <c r="B523" s="16" t="s">
        <v>1641</v>
      </c>
      <c r="C523" s="16" t="str">
        <f>"V2939922924001"</f>
        <v>V2939922924001</v>
      </c>
      <c r="D523" s="16" t="s">
        <v>3478</v>
      </c>
      <c r="E523" s="16" t="s">
        <v>3433</v>
      </c>
      <c r="F523" s="19" t="s">
        <v>3434</v>
      </c>
      <c r="G523" s="16" t="s">
        <v>3435</v>
      </c>
      <c r="H523" s="16" t="s">
        <v>13</v>
      </c>
      <c r="I523" s="16">
        <v>2013</v>
      </c>
      <c r="J523" s="16" t="s">
        <v>3479</v>
      </c>
      <c r="K523" s="16" t="s">
        <v>1707</v>
      </c>
      <c r="L523" s="16" t="s">
        <v>15</v>
      </c>
      <c r="M523" s="16" t="s">
        <v>3480</v>
      </c>
      <c r="N523" s="16"/>
      <c r="O523" s="16"/>
    </row>
    <row r="524" spans="1:15" x14ac:dyDescent="0.3">
      <c r="A524" s="16">
        <v>523</v>
      </c>
      <c r="B524" s="16" t="s">
        <v>1641</v>
      </c>
      <c r="C524" s="16" t="str">
        <f>"V2939922925001"</f>
        <v>V2939922925001</v>
      </c>
      <c r="D524" s="16" t="s">
        <v>3481</v>
      </c>
      <c r="E524" s="16" t="s">
        <v>3433</v>
      </c>
      <c r="F524" s="19" t="s">
        <v>3434</v>
      </c>
      <c r="G524" s="16" t="s">
        <v>3435</v>
      </c>
      <c r="H524" s="16" t="s">
        <v>13</v>
      </c>
      <c r="I524" s="16">
        <v>2013</v>
      </c>
      <c r="J524" s="16" t="s">
        <v>3482</v>
      </c>
      <c r="K524" s="16" t="s">
        <v>3483</v>
      </c>
      <c r="L524" s="16" t="s">
        <v>15</v>
      </c>
      <c r="M524" s="16" t="s">
        <v>3484</v>
      </c>
      <c r="N524" s="16"/>
      <c r="O524" s="16"/>
    </row>
    <row r="525" spans="1:15" x14ac:dyDescent="0.3">
      <c r="A525" s="16">
        <v>524</v>
      </c>
      <c r="B525" s="16" t="s">
        <v>1641</v>
      </c>
      <c r="C525" s="16" t="str">
        <f>"V2939922926001"</f>
        <v>V2939922926001</v>
      </c>
      <c r="D525" s="16" t="s">
        <v>3485</v>
      </c>
      <c r="E525" s="16" t="s">
        <v>3433</v>
      </c>
      <c r="F525" s="19" t="s">
        <v>3434</v>
      </c>
      <c r="G525" s="16" t="s">
        <v>3435</v>
      </c>
      <c r="H525" s="16" t="s">
        <v>13</v>
      </c>
      <c r="I525" s="16">
        <v>2013</v>
      </c>
      <c r="J525" s="16" t="s">
        <v>3486</v>
      </c>
      <c r="K525" s="16" t="s">
        <v>3487</v>
      </c>
      <c r="L525" s="16" t="s">
        <v>15</v>
      </c>
      <c r="M525" s="16" t="s">
        <v>3488</v>
      </c>
      <c r="N525" s="16"/>
      <c r="O525" s="16"/>
    </row>
    <row r="526" spans="1:15" x14ac:dyDescent="0.3">
      <c r="A526" s="16">
        <v>525</v>
      </c>
      <c r="B526" s="16" t="s">
        <v>1641</v>
      </c>
      <c r="C526" s="16" t="str">
        <f>"V2939922927001"</f>
        <v>V2939922927001</v>
      </c>
      <c r="D526" s="16" t="s">
        <v>3489</v>
      </c>
      <c r="E526" s="16" t="s">
        <v>3433</v>
      </c>
      <c r="F526" s="19" t="s">
        <v>3434</v>
      </c>
      <c r="G526" s="16" t="s">
        <v>3435</v>
      </c>
      <c r="H526" s="16" t="s">
        <v>13</v>
      </c>
      <c r="I526" s="16">
        <v>2013</v>
      </c>
      <c r="J526" s="16" t="s">
        <v>3490</v>
      </c>
      <c r="K526" s="16" t="s">
        <v>2400</v>
      </c>
      <c r="L526" s="16" t="s">
        <v>15</v>
      </c>
      <c r="M526" s="16" t="s">
        <v>3491</v>
      </c>
      <c r="N526" s="16"/>
      <c r="O526" s="16"/>
    </row>
    <row r="527" spans="1:15" x14ac:dyDescent="0.3">
      <c r="A527" s="16">
        <v>526</v>
      </c>
      <c r="B527" s="16" t="s">
        <v>1641</v>
      </c>
      <c r="C527" s="16" t="str">
        <f>"V2939922928001"</f>
        <v>V2939922928001</v>
      </c>
      <c r="D527" s="16" t="s">
        <v>3492</v>
      </c>
      <c r="E527" s="16" t="s">
        <v>3433</v>
      </c>
      <c r="F527" s="19" t="s">
        <v>3434</v>
      </c>
      <c r="G527" s="16" t="s">
        <v>3435</v>
      </c>
      <c r="H527" s="16" t="s">
        <v>13</v>
      </c>
      <c r="I527" s="16">
        <v>2013</v>
      </c>
      <c r="J527" s="16" t="s">
        <v>3493</v>
      </c>
      <c r="K527" s="16" t="s">
        <v>154</v>
      </c>
      <c r="L527" s="16" t="s">
        <v>15</v>
      </c>
      <c r="M527" s="16" t="s">
        <v>3494</v>
      </c>
      <c r="N527" s="16"/>
      <c r="O527" s="16"/>
    </row>
    <row r="528" spans="1:15" x14ac:dyDescent="0.3">
      <c r="A528" s="16">
        <v>527</v>
      </c>
      <c r="B528" s="16" t="s">
        <v>1641</v>
      </c>
      <c r="C528" s="16" t="str">
        <f>"V2939922929001"</f>
        <v>V2939922929001</v>
      </c>
      <c r="D528" s="16" t="s">
        <v>3495</v>
      </c>
      <c r="E528" s="16" t="s">
        <v>3433</v>
      </c>
      <c r="F528" s="19" t="s">
        <v>3434</v>
      </c>
      <c r="G528" s="16" t="s">
        <v>3435</v>
      </c>
      <c r="H528" s="16" t="s">
        <v>13</v>
      </c>
      <c r="I528" s="16">
        <v>2013</v>
      </c>
      <c r="J528" s="16" t="s">
        <v>3496</v>
      </c>
      <c r="K528" s="16" t="s">
        <v>1886</v>
      </c>
      <c r="L528" s="16" t="s">
        <v>15</v>
      </c>
      <c r="M528" s="16" t="s">
        <v>3497</v>
      </c>
      <c r="N528" s="16"/>
      <c r="O528" s="16"/>
    </row>
    <row r="529" spans="1:15" x14ac:dyDescent="0.3">
      <c r="A529" s="16">
        <v>528</v>
      </c>
      <c r="B529" s="16" t="s">
        <v>1641</v>
      </c>
      <c r="C529" s="16" t="str">
        <f>"V2939922930001"</f>
        <v>V2939922930001</v>
      </c>
      <c r="D529" s="16" t="s">
        <v>3498</v>
      </c>
      <c r="E529" s="16" t="s">
        <v>3433</v>
      </c>
      <c r="F529" s="19" t="s">
        <v>3434</v>
      </c>
      <c r="G529" s="16" t="s">
        <v>3435</v>
      </c>
      <c r="H529" s="16" t="s">
        <v>13</v>
      </c>
      <c r="I529" s="16">
        <v>2013</v>
      </c>
      <c r="J529" s="16" t="s">
        <v>3499</v>
      </c>
      <c r="K529" s="16" t="s">
        <v>3500</v>
      </c>
      <c r="L529" s="16" t="s">
        <v>15</v>
      </c>
      <c r="M529" s="16" t="s">
        <v>3501</v>
      </c>
      <c r="N529" s="16"/>
      <c r="O529" s="16"/>
    </row>
    <row r="530" spans="1:15" x14ac:dyDescent="0.3">
      <c r="A530" s="16">
        <v>529</v>
      </c>
      <c r="B530" s="16" t="s">
        <v>1641</v>
      </c>
      <c r="C530" s="16" t="str">
        <f>"V2940556026001"</f>
        <v>V2940556026001</v>
      </c>
      <c r="D530" s="16" t="s">
        <v>3502</v>
      </c>
      <c r="E530" s="16" t="s">
        <v>3503</v>
      </c>
      <c r="F530" s="21">
        <v>9780071831451</v>
      </c>
      <c r="G530" s="16" t="s">
        <v>3435</v>
      </c>
      <c r="H530" s="16" t="s">
        <v>13</v>
      </c>
      <c r="I530" s="16">
        <v>2013</v>
      </c>
      <c r="J530" s="16" t="s">
        <v>3504</v>
      </c>
      <c r="K530" s="16" t="s">
        <v>3505</v>
      </c>
      <c r="L530" s="16" t="s">
        <v>15</v>
      </c>
      <c r="M530" s="16" t="s">
        <v>3506</v>
      </c>
      <c r="N530" s="16"/>
      <c r="O530" s="16"/>
    </row>
    <row r="531" spans="1:15" x14ac:dyDescent="0.3">
      <c r="A531" s="16">
        <v>530</v>
      </c>
      <c r="B531" s="16" t="s">
        <v>1641</v>
      </c>
      <c r="C531" s="16" t="str">
        <f>"V2940556027001"</f>
        <v>V2940556027001</v>
      </c>
      <c r="D531" s="16" t="s">
        <v>3507</v>
      </c>
      <c r="E531" s="16" t="s">
        <v>3503</v>
      </c>
      <c r="F531" s="21">
        <v>9780071831451</v>
      </c>
      <c r="G531" s="16" t="s">
        <v>3435</v>
      </c>
      <c r="H531" s="16" t="s">
        <v>13</v>
      </c>
      <c r="I531" s="16">
        <v>2013</v>
      </c>
      <c r="J531" s="16" t="s">
        <v>3508</v>
      </c>
      <c r="K531" s="16" t="s">
        <v>3509</v>
      </c>
      <c r="L531" s="16" t="s">
        <v>15</v>
      </c>
      <c r="M531" s="16" t="s">
        <v>3510</v>
      </c>
      <c r="N531" s="16"/>
      <c r="O531" s="16"/>
    </row>
    <row r="532" spans="1:15" x14ac:dyDescent="0.3">
      <c r="A532" s="16">
        <v>531</v>
      </c>
      <c r="B532" s="16" t="s">
        <v>1641</v>
      </c>
      <c r="C532" s="16" t="str">
        <f>"V2940556028001"</f>
        <v>V2940556028001</v>
      </c>
      <c r="D532" s="16" t="s">
        <v>3511</v>
      </c>
      <c r="E532" s="16" t="s">
        <v>3503</v>
      </c>
      <c r="F532" s="21">
        <v>9780071831451</v>
      </c>
      <c r="G532" s="16" t="s">
        <v>3435</v>
      </c>
      <c r="H532" s="16" t="s">
        <v>13</v>
      </c>
      <c r="I532" s="16">
        <v>2013</v>
      </c>
      <c r="J532" s="16" t="s">
        <v>3512</v>
      </c>
      <c r="K532" s="16" t="s">
        <v>38</v>
      </c>
      <c r="L532" s="16" t="s">
        <v>15</v>
      </c>
      <c r="M532" s="16" t="s">
        <v>3513</v>
      </c>
      <c r="N532" s="16"/>
      <c r="O532" s="16"/>
    </row>
    <row r="533" spans="1:15" x14ac:dyDescent="0.3">
      <c r="A533" s="16">
        <v>532</v>
      </c>
      <c r="B533" s="16" t="s">
        <v>1641</v>
      </c>
      <c r="C533" s="16" t="str">
        <f>"V2940556029001"</f>
        <v>V2940556029001</v>
      </c>
      <c r="D533" s="16" t="s">
        <v>3514</v>
      </c>
      <c r="E533" s="16" t="s">
        <v>3503</v>
      </c>
      <c r="F533" s="21">
        <v>9780071831451</v>
      </c>
      <c r="G533" s="16" t="s">
        <v>3435</v>
      </c>
      <c r="H533" s="16" t="s">
        <v>13</v>
      </c>
      <c r="I533" s="16">
        <v>2013</v>
      </c>
      <c r="J533" s="16" t="s">
        <v>3515</v>
      </c>
      <c r="K533" s="16" t="s">
        <v>3516</v>
      </c>
      <c r="L533" s="16" t="s">
        <v>15</v>
      </c>
      <c r="M533" s="16" t="s">
        <v>3517</v>
      </c>
      <c r="N533" s="16"/>
      <c r="O533" s="16"/>
    </row>
    <row r="534" spans="1:15" x14ac:dyDescent="0.3">
      <c r="A534" s="16">
        <v>533</v>
      </c>
      <c r="B534" s="16" t="s">
        <v>1641</v>
      </c>
      <c r="C534" s="16" t="str">
        <f>"V2940556030001"</f>
        <v>V2940556030001</v>
      </c>
      <c r="D534" s="16" t="s">
        <v>3518</v>
      </c>
      <c r="E534" s="16" t="s">
        <v>3503</v>
      </c>
      <c r="F534" s="21">
        <v>9780071831451</v>
      </c>
      <c r="G534" s="16" t="s">
        <v>3435</v>
      </c>
      <c r="H534" s="16" t="s">
        <v>13</v>
      </c>
      <c r="I534" s="16">
        <v>2013</v>
      </c>
      <c r="J534" s="16" t="s">
        <v>3519</v>
      </c>
      <c r="K534" s="16" t="s">
        <v>3520</v>
      </c>
      <c r="L534" s="16" t="s">
        <v>15</v>
      </c>
      <c r="M534" s="16" t="s">
        <v>3521</v>
      </c>
      <c r="N534" s="16"/>
      <c r="O534" s="16"/>
    </row>
    <row r="535" spans="1:15" x14ac:dyDescent="0.3">
      <c r="A535" s="16">
        <v>534</v>
      </c>
      <c r="B535" s="16" t="s">
        <v>1641</v>
      </c>
      <c r="C535" s="16" t="str">
        <f>"V2940556031001"</f>
        <v>V2940556031001</v>
      </c>
      <c r="D535" s="16" t="s">
        <v>3522</v>
      </c>
      <c r="E535" s="16" t="s">
        <v>3503</v>
      </c>
      <c r="F535" s="21">
        <v>9780071831451</v>
      </c>
      <c r="G535" s="16" t="s">
        <v>3435</v>
      </c>
      <c r="H535" s="16" t="s">
        <v>13</v>
      </c>
      <c r="I535" s="16">
        <v>2013</v>
      </c>
      <c r="J535" s="16" t="s">
        <v>3523</v>
      </c>
      <c r="K535" s="16" t="s">
        <v>566</v>
      </c>
      <c r="L535" s="16" t="s">
        <v>15</v>
      </c>
      <c r="M535" s="16" t="s">
        <v>3524</v>
      </c>
      <c r="N535" s="16"/>
      <c r="O535" s="16"/>
    </row>
    <row r="536" spans="1:15" x14ac:dyDescent="0.3">
      <c r="A536" s="16">
        <v>535</v>
      </c>
      <c r="B536" s="16" t="s">
        <v>1641</v>
      </c>
      <c r="C536" s="16" t="str">
        <f>"V2940556032001"</f>
        <v>V2940556032001</v>
      </c>
      <c r="D536" s="16" t="s">
        <v>3525</v>
      </c>
      <c r="E536" s="16" t="s">
        <v>3503</v>
      </c>
      <c r="F536" s="21">
        <v>9780071831451</v>
      </c>
      <c r="G536" s="16" t="s">
        <v>3435</v>
      </c>
      <c r="H536" s="16" t="s">
        <v>13</v>
      </c>
      <c r="I536" s="16">
        <v>2013</v>
      </c>
      <c r="J536" s="16" t="s">
        <v>3526</v>
      </c>
      <c r="K536" s="16" t="s">
        <v>3527</v>
      </c>
      <c r="L536" s="16" t="s">
        <v>15</v>
      </c>
      <c r="M536" s="16" t="s">
        <v>3528</v>
      </c>
      <c r="N536" s="16"/>
      <c r="O536" s="16"/>
    </row>
    <row r="537" spans="1:15" x14ac:dyDescent="0.3">
      <c r="A537" s="16">
        <v>536</v>
      </c>
      <c r="B537" s="16" t="s">
        <v>1641</v>
      </c>
      <c r="C537" s="16" t="str">
        <f>"V2940556033001"</f>
        <v>V2940556033001</v>
      </c>
      <c r="D537" s="16" t="s">
        <v>3529</v>
      </c>
      <c r="E537" s="16" t="s">
        <v>3503</v>
      </c>
      <c r="F537" s="21">
        <v>9780071831451</v>
      </c>
      <c r="G537" s="16" t="s">
        <v>3435</v>
      </c>
      <c r="H537" s="16" t="s">
        <v>13</v>
      </c>
      <c r="I537" s="16">
        <v>2013</v>
      </c>
      <c r="J537" s="16" t="s">
        <v>3530</v>
      </c>
      <c r="K537" s="16" t="s">
        <v>566</v>
      </c>
      <c r="L537" s="16" t="s">
        <v>15</v>
      </c>
      <c r="M537" s="16" t="s">
        <v>3531</v>
      </c>
      <c r="N537" s="16"/>
      <c r="O537" s="16"/>
    </row>
    <row r="538" spans="1:15" x14ac:dyDescent="0.3">
      <c r="A538" s="16">
        <v>537</v>
      </c>
      <c r="B538" s="16" t="s">
        <v>1641</v>
      </c>
      <c r="C538" s="16" t="str">
        <f>"V2940556034001"</f>
        <v>V2940556034001</v>
      </c>
      <c r="D538" s="16" t="s">
        <v>3532</v>
      </c>
      <c r="E538" s="16" t="s">
        <v>3503</v>
      </c>
      <c r="F538" s="21">
        <v>9780071831451</v>
      </c>
      <c r="G538" s="16" t="s">
        <v>3435</v>
      </c>
      <c r="H538" s="16" t="s">
        <v>13</v>
      </c>
      <c r="I538" s="16">
        <v>2013</v>
      </c>
      <c r="J538" s="16" t="s">
        <v>3533</v>
      </c>
      <c r="K538" s="16" t="s">
        <v>3534</v>
      </c>
      <c r="L538" s="16" t="s">
        <v>15</v>
      </c>
      <c r="M538" s="16" t="s">
        <v>3535</v>
      </c>
      <c r="N538" s="16"/>
      <c r="O538" s="16"/>
    </row>
    <row r="539" spans="1:15" x14ac:dyDescent="0.3">
      <c r="A539" s="16">
        <v>538</v>
      </c>
      <c r="B539" s="16" t="s">
        <v>1641</v>
      </c>
      <c r="C539" s="16" t="str">
        <f>"V2940556035001"</f>
        <v>V2940556035001</v>
      </c>
      <c r="D539" s="16" t="s">
        <v>3536</v>
      </c>
      <c r="E539" s="16" t="s">
        <v>3503</v>
      </c>
      <c r="F539" s="21">
        <v>9780071831451</v>
      </c>
      <c r="G539" s="16" t="s">
        <v>3435</v>
      </c>
      <c r="H539" s="16" t="s">
        <v>13</v>
      </c>
      <c r="I539" s="16">
        <v>2013</v>
      </c>
      <c r="J539" s="16" t="s">
        <v>3537</v>
      </c>
      <c r="K539" s="16" t="s">
        <v>3538</v>
      </c>
      <c r="L539" s="16" t="s">
        <v>15</v>
      </c>
      <c r="M539" s="16" t="s">
        <v>3539</v>
      </c>
      <c r="N539" s="16"/>
      <c r="O539" s="16"/>
    </row>
    <row r="540" spans="1:15" x14ac:dyDescent="0.3">
      <c r="A540" s="16">
        <v>539</v>
      </c>
      <c r="B540" s="16" t="s">
        <v>1641</v>
      </c>
      <c r="C540" s="16" t="str">
        <f>"V2940556036001"</f>
        <v>V2940556036001</v>
      </c>
      <c r="D540" s="16" t="s">
        <v>3540</v>
      </c>
      <c r="E540" s="16" t="s">
        <v>3503</v>
      </c>
      <c r="F540" s="21">
        <v>9780071831451</v>
      </c>
      <c r="G540" s="16" t="s">
        <v>3435</v>
      </c>
      <c r="H540" s="16" t="s">
        <v>13</v>
      </c>
      <c r="I540" s="16">
        <v>2013</v>
      </c>
      <c r="J540" s="16" t="s">
        <v>3541</v>
      </c>
      <c r="K540" s="16" t="s">
        <v>566</v>
      </c>
      <c r="L540" s="16" t="s">
        <v>15</v>
      </c>
      <c r="M540" s="16" t="s">
        <v>3542</v>
      </c>
      <c r="N540" s="16"/>
      <c r="O540" s="16"/>
    </row>
    <row r="541" spans="1:15" x14ac:dyDescent="0.3">
      <c r="A541" s="16">
        <v>540</v>
      </c>
      <c r="B541" s="16" t="s">
        <v>1641</v>
      </c>
      <c r="C541" s="16" t="str">
        <f>"V2940556037001"</f>
        <v>V2940556037001</v>
      </c>
      <c r="D541" s="16" t="s">
        <v>3543</v>
      </c>
      <c r="E541" s="16" t="s">
        <v>3503</v>
      </c>
      <c r="F541" s="21">
        <v>9780071831451</v>
      </c>
      <c r="G541" s="16" t="s">
        <v>3435</v>
      </c>
      <c r="H541" s="16" t="s">
        <v>13</v>
      </c>
      <c r="I541" s="16">
        <v>2013</v>
      </c>
      <c r="J541" s="16" t="s">
        <v>3544</v>
      </c>
      <c r="K541" s="16" t="s">
        <v>566</v>
      </c>
      <c r="L541" s="16" t="s">
        <v>15</v>
      </c>
      <c r="M541" s="16" t="s">
        <v>3545</v>
      </c>
      <c r="N541" s="16"/>
      <c r="O541" s="16"/>
    </row>
    <row r="542" spans="1:15" x14ac:dyDescent="0.3">
      <c r="A542" s="16">
        <v>541</v>
      </c>
      <c r="B542" s="16" t="s">
        <v>1641</v>
      </c>
      <c r="C542" s="16" t="str">
        <f>"V2940556038001"</f>
        <v>V2940556038001</v>
      </c>
      <c r="D542" s="16" t="s">
        <v>3546</v>
      </c>
      <c r="E542" s="16" t="s">
        <v>3503</v>
      </c>
      <c r="F542" s="21">
        <v>9780071831451</v>
      </c>
      <c r="G542" s="16" t="s">
        <v>3435</v>
      </c>
      <c r="H542" s="16" t="s">
        <v>13</v>
      </c>
      <c r="I542" s="16">
        <v>2013</v>
      </c>
      <c r="J542" s="16" t="s">
        <v>3547</v>
      </c>
      <c r="K542" s="16" t="s">
        <v>38</v>
      </c>
      <c r="L542" s="16" t="s">
        <v>15</v>
      </c>
      <c r="M542" s="16" t="s">
        <v>3548</v>
      </c>
      <c r="N542" s="16"/>
      <c r="O542" s="16"/>
    </row>
    <row r="543" spans="1:15" x14ac:dyDescent="0.3">
      <c r="A543" s="16">
        <v>542</v>
      </c>
      <c r="B543" s="16" t="s">
        <v>1641</v>
      </c>
      <c r="C543" s="16" t="str">
        <f>"V2940556040001"</f>
        <v>V2940556040001</v>
      </c>
      <c r="D543" s="16" t="s">
        <v>3549</v>
      </c>
      <c r="E543" s="16" t="s">
        <v>3503</v>
      </c>
      <c r="F543" s="21">
        <v>9780071831451</v>
      </c>
      <c r="G543" s="16" t="s">
        <v>3435</v>
      </c>
      <c r="H543" s="16" t="s">
        <v>13</v>
      </c>
      <c r="I543" s="16">
        <v>2013</v>
      </c>
      <c r="J543" s="16" t="s">
        <v>3550</v>
      </c>
      <c r="K543" s="16" t="s">
        <v>3516</v>
      </c>
      <c r="L543" s="16" t="s">
        <v>15</v>
      </c>
      <c r="M543" s="16" t="s">
        <v>3551</v>
      </c>
      <c r="N543" s="16"/>
      <c r="O543" s="16"/>
    </row>
    <row r="544" spans="1:15" x14ac:dyDescent="0.3">
      <c r="A544" s="16">
        <v>543</v>
      </c>
      <c r="B544" s="16" t="s">
        <v>1641</v>
      </c>
      <c r="C544" s="16" t="str">
        <f>"V2940556041001"</f>
        <v>V2940556041001</v>
      </c>
      <c r="D544" s="16" t="s">
        <v>3552</v>
      </c>
      <c r="E544" s="16" t="s">
        <v>3503</v>
      </c>
      <c r="F544" s="21">
        <v>9780071831451</v>
      </c>
      <c r="G544" s="16" t="s">
        <v>3435</v>
      </c>
      <c r="H544" s="16" t="s">
        <v>13</v>
      </c>
      <c r="I544" s="16">
        <v>2013</v>
      </c>
      <c r="J544" s="16" t="s">
        <v>3553</v>
      </c>
      <c r="K544" s="16" t="s">
        <v>3516</v>
      </c>
      <c r="L544" s="16" t="s">
        <v>15</v>
      </c>
      <c r="M544" s="16" t="s">
        <v>3554</v>
      </c>
      <c r="N544" s="16"/>
      <c r="O544" s="16"/>
    </row>
    <row r="545" spans="1:15" x14ac:dyDescent="0.3">
      <c r="A545" s="16">
        <v>544</v>
      </c>
      <c r="B545" s="16" t="s">
        <v>1641</v>
      </c>
      <c r="C545" s="16" t="str">
        <f>"V2940556042001"</f>
        <v>V2940556042001</v>
      </c>
      <c r="D545" s="16" t="s">
        <v>3555</v>
      </c>
      <c r="E545" s="16" t="s">
        <v>3503</v>
      </c>
      <c r="F545" s="21">
        <v>9780071831451</v>
      </c>
      <c r="G545" s="16" t="s">
        <v>3435</v>
      </c>
      <c r="H545" s="16" t="s">
        <v>13</v>
      </c>
      <c r="I545" s="16">
        <v>2013</v>
      </c>
      <c r="J545" s="16" t="s">
        <v>3556</v>
      </c>
      <c r="K545" s="16" t="s">
        <v>566</v>
      </c>
      <c r="L545" s="16" t="s">
        <v>15</v>
      </c>
      <c r="M545" s="16" t="s">
        <v>3557</v>
      </c>
      <c r="N545" s="16"/>
      <c r="O545" s="16"/>
    </row>
    <row r="546" spans="1:15" x14ac:dyDescent="0.3">
      <c r="A546" s="16">
        <v>545</v>
      </c>
      <c r="B546" s="16" t="s">
        <v>1641</v>
      </c>
      <c r="C546" s="16" t="str">
        <f>"V2940556043001"</f>
        <v>V2940556043001</v>
      </c>
      <c r="D546" s="16" t="s">
        <v>3558</v>
      </c>
      <c r="E546" s="16" t="s">
        <v>3503</v>
      </c>
      <c r="F546" s="21">
        <v>9780071831451</v>
      </c>
      <c r="G546" s="16" t="s">
        <v>3435</v>
      </c>
      <c r="H546" s="16" t="s">
        <v>13</v>
      </c>
      <c r="I546" s="16">
        <v>2013</v>
      </c>
      <c r="J546" s="16" t="s">
        <v>3559</v>
      </c>
      <c r="K546" s="16" t="s">
        <v>566</v>
      </c>
      <c r="L546" s="16" t="s">
        <v>15</v>
      </c>
      <c r="M546" s="16" t="s">
        <v>3560</v>
      </c>
      <c r="N546" s="16"/>
      <c r="O546" s="16"/>
    </row>
    <row r="547" spans="1:15" x14ac:dyDescent="0.3">
      <c r="A547" s="16">
        <v>546</v>
      </c>
      <c r="B547" s="16" t="s">
        <v>1641</v>
      </c>
      <c r="C547" s="16" t="str">
        <f>"V2940556044001"</f>
        <v>V2940556044001</v>
      </c>
      <c r="D547" s="16" t="s">
        <v>3561</v>
      </c>
      <c r="E547" s="16" t="s">
        <v>3503</v>
      </c>
      <c r="F547" s="21">
        <v>9780071831451</v>
      </c>
      <c r="G547" s="16" t="s">
        <v>3435</v>
      </c>
      <c r="H547" s="16" t="s">
        <v>13</v>
      </c>
      <c r="I547" s="16">
        <v>2013</v>
      </c>
      <c r="J547" s="16" t="s">
        <v>3562</v>
      </c>
      <c r="K547" s="16" t="s">
        <v>3516</v>
      </c>
      <c r="L547" s="16" t="s">
        <v>15</v>
      </c>
      <c r="M547" s="16" t="s">
        <v>3563</v>
      </c>
      <c r="N547" s="16"/>
      <c r="O547" s="16"/>
    </row>
    <row r="548" spans="1:15" x14ac:dyDescent="0.3">
      <c r="A548" s="16">
        <v>547</v>
      </c>
      <c r="B548" s="16" t="s">
        <v>1641</v>
      </c>
      <c r="C548" s="16" t="str">
        <f>"V2940556045001"</f>
        <v>V2940556045001</v>
      </c>
      <c r="D548" s="16" t="s">
        <v>3564</v>
      </c>
      <c r="E548" s="16" t="s">
        <v>3503</v>
      </c>
      <c r="F548" s="21">
        <v>9780071831451</v>
      </c>
      <c r="G548" s="16" t="s">
        <v>3435</v>
      </c>
      <c r="H548" s="16" t="s">
        <v>13</v>
      </c>
      <c r="I548" s="16">
        <v>2013</v>
      </c>
      <c r="J548" s="16" t="s">
        <v>3565</v>
      </c>
      <c r="K548" s="16" t="s">
        <v>3566</v>
      </c>
      <c r="L548" s="16" t="s">
        <v>15</v>
      </c>
      <c r="M548" s="16" t="s">
        <v>3567</v>
      </c>
      <c r="N548" s="16"/>
      <c r="O548" s="16"/>
    </row>
    <row r="549" spans="1:15" x14ac:dyDescent="0.3">
      <c r="A549" s="16">
        <v>548</v>
      </c>
      <c r="B549" s="16" t="s">
        <v>1641</v>
      </c>
      <c r="C549" s="16" t="str">
        <f>"V2942794483001"</f>
        <v>V2942794483001</v>
      </c>
      <c r="D549" s="16" t="s">
        <v>3568</v>
      </c>
      <c r="E549" s="16" t="s">
        <v>3503</v>
      </c>
      <c r="F549" s="21">
        <v>9780071831451</v>
      </c>
      <c r="G549" s="16" t="s">
        <v>3435</v>
      </c>
      <c r="H549" s="16" t="s">
        <v>13</v>
      </c>
      <c r="I549" s="16">
        <v>2013</v>
      </c>
      <c r="J549" s="16" t="s">
        <v>3569</v>
      </c>
      <c r="K549" s="16" t="s">
        <v>3570</v>
      </c>
      <c r="L549" s="16" t="s">
        <v>15</v>
      </c>
      <c r="M549" s="16" t="s">
        <v>3571</v>
      </c>
      <c r="N549" s="16"/>
      <c r="O549" s="16"/>
    </row>
    <row r="550" spans="1:15" x14ac:dyDescent="0.3">
      <c r="A550" s="16">
        <v>549</v>
      </c>
      <c r="B550" s="16" t="s">
        <v>1641</v>
      </c>
      <c r="C550" s="16" t="str">
        <f>"V2949872175001"</f>
        <v>V2949872175001</v>
      </c>
      <c r="D550" s="16" t="s">
        <v>3572</v>
      </c>
      <c r="E550" s="16" t="s">
        <v>3573</v>
      </c>
      <c r="F550" s="19" t="s">
        <v>3574</v>
      </c>
      <c r="G550" s="16" t="s">
        <v>2868</v>
      </c>
      <c r="H550" s="16" t="s">
        <v>13</v>
      </c>
      <c r="I550" s="16">
        <v>2013</v>
      </c>
      <c r="J550" s="16" t="s">
        <v>3575</v>
      </c>
      <c r="K550" s="16" t="s">
        <v>3576</v>
      </c>
      <c r="L550" s="16" t="s">
        <v>15</v>
      </c>
      <c r="M550" s="16" t="s">
        <v>3577</v>
      </c>
      <c r="N550" s="16"/>
      <c r="O550" s="16"/>
    </row>
    <row r="551" spans="1:15" x14ac:dyDescent="0.3">
      <c r="A551" s="16">
        <v>550</v>
      </c>
      <c r="B551" s="16" t="s">
        <v>1641</v>
      </c>
      <c r="C551" s="16" t="str">
        <f>"V2949872176001"</f>
        <v>V2949872176001</v>
      </c>
      <c r="D551" s="16" t="s">
        <v>3578</v>
      </c>
      <c r="E551" s="16" t="s">
        <v>3573</v>
      </c>
      <c r="F551" s="19" t="s">
        <v>3574</v>
      </c>
      <c r="G551" s="16" t="s">
        <v>2868</v>
      </c>
      <c r="H551" s="16" t="s">
        <v>13</v>
      </c>
      <c r="I551" s="16">
        <v>2013</v>
      </c>
      <c r="J551" s="16" t="s">
        <v>3579</v>
      </c>
      <c r="K551" s="16" t="s">
        <v>3576</v>
      </c>
      <c r="L551" s="16" t="s">
        <v>15</v>
      </c>
      <c r="M551" s="16" t="s">
        <v>3580</v>
      </c>
      <c r="N551" s="16"/>
      <c r="O551" s="16"/>
    </row>
    <row r="552" spans="1:15" x14ac:dyDescent="0.3">
      <c r="A552" s="16">
        <v>551</v>
      </c>
      <c r="B552" s="16" t="s">
        <v>1641</v>
      </c>
      <c r="C552" s="16" t="str">
        <f>"V2949872177001"</f>
        <v>V2949872177001</v>
      </c>
      <c r="D552" s="16" t="s">
        <v>3581</v>
      </c>
      <c r="E552" s="16" t="s">
        <v>3573</v>
      </c>
      <c r="F552" s="19" t="s">
        <v>3574</v>
      </c>
      <c r="G552" s="16" t="s">
        <v>2868</v>
      </c>
      <c r="H552" s="16" t="s">
        <v>13</v>
      </c>
      <c r="I552" s="16">
        <v>2013</v>
      </c>
      <c r="J552" s="16" t="s">
        <v>3582</v>
      </c>
      <c r="K552" s="16" t="s">
        <v>3576</v>
      </c>
      <c r="L552" s="16" t="s">
        <v>15</v>
      </c>
      <c r="M552" s="16" t="s">
        <v>3583</v>
      </c>
      <c r="N552" s="16"/>
      <c r="O552" s="16"/>
    </row>
    <row r="553" spans="1:15" x14ac:dyDescent="0.3">
      <c r="A553" s="16">
        <v>552</v>
      </c>
      <c r="B553" s="16" t="s">
        <v>1641</v>
      </c>
      <c r="C553" s="16" t="str">
        <f>"V2949872178001"</f>
        <v>V2949872178001</v>
      </c>
      <c r="D553" s="16" t="s">
        <v>3584</v>
      </c>
      <c r="E553" s="16" t="s">
        <v>3573</v>
      </c>
      <c r="F553" s="19" t="s">
        <v>3574</v>
      </c>
      <c r="G553" s="16" t="s">
        <v>2868</v>
      </c>
      <c r="H553" s="16" t="s">
        <v>13</v>
      </c>
      <c r="I553" s="16">
        <v>2013</v>
      </c>
      <c r="J553" s="16" t="s">
        <v>3585</v>
      </c>
      <c r="K553" s="16" t="s">
        <v>3586</v>
      </c>
      <c r="L553" s="16" t="s">
        <v>15</v>
      </c>
      <c r="M553" s="16" t="s">
        <v>3587</v>
      </c>
      <c r="N553" s="16"/>
      <c r="O553" s="16"/>
    </row>
    <row r="554" spans="1:15" x14ac:dyDescent="0.3">
      <c r="A554" s="16">
        <v>553</v>
      </c>
      <c r="B554" s="16" t="s">
        <v>1641</v>
      </c>
      <c r="C554" s="16" t="str">
        <f>"V2949872179001"</f>
        <v>V2949872179001</v>
      </c>
      <c r="D554" s="16" t="s">
        <v>3588</v>
      </c>
      <c r="E554" s="16" t="s">
        <v>3573</v>
      </c>
      <c r="F554" s="19" t="s">
        <v>3574</v>
      </c>
      <c r="G554" s="16" t="s">
        <v>2868</v>
      </c>
      <c r="H554" s="16" t="s">
        <v>13</v>
      </c>
      <c r="I554" s="16">
        <v>2013</v>
      </c>
      <c r="J554" s="16" t="s">
        <v>3589</v>
      </c>
      <c r="K554" s="16" t="s">
        <v>3576</v>
      </c>
      <c r="L554" s="16" t="s">
        <v>15</v>
      </c>
      <c r="M554" s="16" t="s">
        <v>3590</v>
      </c>
      <c r="N554" s="16"/>
      <c r="O554" s="16"/>
    </row>
    <row r="555" spans="1:15" x14ac:dyDescent="0.3">
      <c r="A555" s="16">
        <v>554</v>
      </c>
      <c r="B555" s="16" t="s">
        <v>1641</v>
      </c>
      <c r="C555" s="16" t="str">
        <f>"V2949872180001"</f>
        <v>V2949872180001</v>
      </c>
      <c r="D555" s="16" t="s">
        <v>3591</v>
      </c>
      <c r="E555" s="16" t="s">
        <v>3573</v>
      </c>
      <c r="F555" s="19" t="s">
        <v>3574</v>
      </c>
      <c r="G555" s="16" t="s">
        <v>2868</v>
      </c>
      <c r="H555" s="16" t="s">
        <v>13</v>
      </c>
      <c r="I555" s="16">
        <v>2013</v>
      </c>
      <c r="J555" s="16" t="s">
        <v>3592</v>
      </c>
      <c r="K555" s="16" t="s">
        <v>3576</v>
      </c>
      <c r="L555" s="16" t="s">
        <v>15</v>
      </c>
      <c r="M555" s="16" t="s">
        <v>3593</v>
      </c>
      <c r="N555" s="16"/>
      <c r="O555" s="16"/>
    </row>
    <row r="556" spans="1:15" x14ac:dyDescent="0.3">
      <c r="A556" s="16">
        <v>555</v>
      </c>
      <c r="B556" s="16" t="s">
        <v>1641</v>
      </c>
      <c r="C556" s="16" t="str">
        <f>"V2949872181001"</f>
        <v>V2949872181001</v>
      </c>
      <c r="D556" s="16" t="s">
        <v>3594</v>
      </c>
      <c r="E556" s="16" t="s">
        <v>3573</v>
      </c>
      <c r="F556" s="19" t="s">
        <v>3574</v>
      </c>
      <c r="G556" s="16" t="s">
        <v>2868</v>
      </c>
      <c r="H556" s="16" t="s">
        <v>13</v>
      </c>
      <c r="I556" s="16">
        <v>2013</v>
      </c>
      <c r="J556" s="16" t="s">
        <v>3595</v>
      </c>
      <c r="K556" s="16" t="s">
        <v>95</v>
      </c>
      <c r="L556" s="16" t="s">
        <v>15</v>
      </c>
      <c r="M556" s="16" t="s">
        <v>3596</v>
      </c>
      <c r="N556" s="16"/>
      <c r="O556" s="16"/>
    </row>
    <row r="557" spans="1:15" x14ac:dyDescent="0.3">
      <c r="A557" s="16">
        <v>556</v>
      </c>
      <c r="B557" s="16" t="s">
        <v>1641</v>
      </c>
      <c r="C557" s="16" t="str">
        <f>"V2949872182001"</f>
        <v>V2949872182001</v>
      </c>
      <c r="D557" s="16" t="s">
        <v>3597</v>
      </c>
      <c r="E557" s="16" t="s">
        <v>3573</v>
      </c>
      <c r="F557" s="19" t="s">
        <v>3574</v>
      </c>
      <c r="G557" s="16" t="s">
        <v>2868</v>
      </c>
      <c r="H557" s="16" t="s">
        <v>13</v>
      </c>
      <c r="I557" s="16">
        <v>2013</v>
      </c>
      <c r="J557" s="16" t="s">
        <v>3598</v>
      </c>
      <c r="K557" s="16" t="s">
        <v>167</v>
      </c>
      <c r="L557" s="16" t="s">
        <v>15</v>
      </c>
      <c r="M557" s="16" t="s">
        <v>3599</v>
      </c>
      <c r="N557" s="16"/>
      <c r="O557" s="16"/>
    </row>
    <row r="558" spans="1:15" x14ac:dyDescent="0.3">
      <c r="A558" s="16">
        <v>557</v>
      </c>
      <c r="B558" s="16" t="s">
        <v>1641</v>
      </c>
      <c r="C558" s="16" t="str">
        <f>"V2949872183001"</f>
        <v>V2949872183001</v>
      </c>
      <c r="D558" s="16" t="s">
        <v>3600</v>
      </c>
      <c r="E558" s="16" t="s">
        <v>3573</v>
      </c>
      <c r="F558" s="19" t="s">
        <v>3574</v>
      </c>
      <c r="G558" s="16" t="s">
        <v>2868</v>
      </c>
      <c r="H558" s="16" t="s">
        <v>13</v>
      </c>
      <c r="I558" s="16">
        <v>2013</v>
      </c>
      <c r="J558" s="16" t="s">
        <v>3601</v>
      </c>
      <c r="K558" s="16" t="s">
        <v>2220</v>
      </c>
      <c r="L558" s="16" t="s">
        <v>15</v>
      </c>
      <c r="M558" s="16" t="s">
        <v>3602</v>
      </c>
      <c r="N558" s="16"/>
      <c r="O558" s="16"/>
    </row>
    <row r="559" spans="1:15" x14ac:dyDescent="0.3">
      <c r="A559" s="16">
        <v>558</v>
      </c>
      <c r="B559" s="16" t="s">
        <v>1641</v>
      </c>
      <c r="C559" s="16" t="str">
        <f>"V2949872184001"</f>
        <v>V2949872184001</v>
      </c>
      <c r="D559" s="16" t="s">
        <v>3603</v>
      </c>
      <c r="E559" s="16" t="s">
        <v>3573</v>
      </c>
      <c r="F559" s="19" t="s">
        <v>3574</v>
      </c>
      <c r="G559" s="16" t="s">
        <v>2868</v>
      </c>
      <c r="H559" s="16" t="s">
        <v>13</v>
      </c>
      <c r="I559" s="16">
        <v>2013</v>
      </c>
      <c r="J559" s="16" t="s">
        <v>3604</v>
      </c>
      <c r="K559" s="16" t="s">
        <v>3605</v>
      </c>
      <c r="L559" s="16" t="s">
        <v>15</v>
      </c>
      <c r="M559" s="16" t="s">
        <v>3606</v>
      </c>
      <c r="N559" s="16"/>
      <c r="O559" s="16"/>
    </row>
    <row r="560" spans="1:15" x14ac:dyDescent="0.3">
      <c r="A560" s="16">
        <v>559</v>
      </c>
      <c r="B560" s="16" t="s">
        <v>1641</v>
      </c>
      <c r="C560" s="16" t="str">
        <f>"V2949872185001"</f>
        <v>V2949872185001</v>
      </c>
      <c r="D560" s="16" t="s">
        <v>3607</v>
      </c>
      <c r="E560" s="16" t="s">
        <v>3573</v>
      </c>
      <c r="F560" s="19" t="s">
        <v>3574</v>
      </c>
      <c r="G560" s="16" t="s">
        <v>2868</v>
      </c>
      <c r="H560" s="16" t="s">
        <v>13</v>
      </c>
      <c r="I560" s="16">
        <v>2013</v>
      </c>
      <c r="J560" s="16" t="s">
        <v>3608</v>
      </c>
      <c r="K560" s="16" t="s">
        <v>3609</v>
      </c>
      <c r="L560" s="16" t="s">
        <v>15</v>
      </c>
      <c r="M560" s="16" t="s">
        <v>3610</v>
      </c>
      <c r="N560" s="16"/>
      <c r="O560" s="16"/>
    </row>
    <row r="561" spans="1:15" x14ac:dyDescent="0.3">
      <c r="A561" s="16">
        <v>560</v>
      </c>
      <c r="B561" s="16" t="s">
        <v>1641</v>
      </c>
      <c r="C561" s="16" t="str">
        <f>"V2949872186001"</f>
        <v>V2949872186001</v>
      </c>
      <c r="D561" s="16" t="s">
        <v>3611</v>
      </c>
      <c r="E561" s="16" t="s">
        <v>3573</v>
      </c>
      <c r="F561" s="19" t="s">
        <v>3574</v>
      </c>
      <c r="G561" s="16" t="s">
        <v>2868</v>
      </c>
      <c r="H561" s="16" t="s">
        <v>13</v>
      </c>
      <c r="I561" s="16">
        <v>2013</v>
      </c>
      <c r="J561" s="16" t="s">
        <v>3612</v>
      </c>
      <c r="K561" s="16" t="s">
        <v>3613</v>
      </c>
      <c r="L561" s="16" t="s">
        <v>15</v>
      </c>
      <c r="M561" s="16" t="s">
        <v>3614</v>
      </c>
      <c r="N561" s="16"/>
      <c r="O561" s="16"/>
    </row>
    <row r="562" spans="1:15" x14ac:dyDescent="0.3">
      <c r="A562" s="16">
        <v>561</v>
      </c>
      <c r="B562" s="16" t="s">
        <v>1641</v>
      </c>
      <c r="C562" s="16" t="str">
        <f>"V2949872187001"</f>
        <v>V2949872187001</v>
      </c>
      <c r="D562" s="16" t="s">
        <v>3615</v>
      </c>
      <c r="E562" s="16" t="s">
        <v>3573</v>
      </c>
      <c r="F562" s="19" t="s">
        <v>3574</v>
      </c>
      <c r="G562" s="16" t="s">
        <v>2868</v>
      </c>
      <c r="H562" s="16" t="s">
        <v>13</v>
      </c>
      <c r="I562" s="16">
        <v>2013</v>
      </c>
      <c r="J562" s="16" t="s">
        <v>3616</v>
      </c>
      <c r="K562" s="16" t="s">
        <v>3617</v>
      </c>
      <c r="L562" s="16" t="s">
        <v>15</v>
      </c>
      <c r="M562" s="16" t="s">
        <v>3618</v>
      </c>
      <c r="N562" s="16"/>
      <c r="O562" s="16"/>
    </row>
    <row r="563" spans="1:15" x14ac:dyDescent="0.3">
      <c r="A563" s="16">
        <v>562</v>
      </c>
      <c r="B563" s="16" t="s">
        <v>1641</v>
      </c>
      <c r="C563" s="16" t="str">
        <f>"V2949872188001"</f>
        <v>V2949872188001</v>
      </c>
      <c r="D563" s="16" t="s">
        <v>3619</v>
      </c>
      <c r="E563" s="16" t="s">
        <v>3573</v>
      </c>
      <c r="F563" s="19" t="s">
        <v>3574</v>
      </c>
      <c r="G563" s="16" t="s">
        <v>2868</v>
      </c>
      <c r="H563" s="16" t="s">
        <v>13</v>
      </c>
      <c r="I563" s="16">
        <v>2013</v>
      </c>
      <c r="J563" s="16" t="s">
        <v>3620</v>
      </c>
      <c r="K563" s="16" t="s">
        <v>3576</v>
      </c>
      <c r="L563" s="16" t="s">
        <v>15</v>
      </c>
      <c r="M563" s="16" t="s">
        <v>3621</v>
      </c>
      <c r="N563" s="16"/>
      <c r="O563" s="16"/>
    </row>
    <row r="564" spans="1:15" x14ac:dyDescent="0.3">
      <c r="A564" s="16">
        <v>563</v>
      </c>
      <c r="B564" s="16" t="s">
        <v>1641</v>
      </c>
      <c r="C564" s="16" t="str">
        <f>"V2949872189001"</f>
        <v>V2949872189001</v>
      </c>
      <c r="D564" s="16" t="s">
        <v>3622</v>
      </c>
      <c r="E564" s="16" t="s">
        <v>3573</v>
      </c>
      <c r="F564" s="19" t="s">
        <v>3574</v>
      </c>
      <c r="G564" s="16" t="s">
        <v>2868</v>
      </c>
      <c r="H564" s="16" t="s">
        <v>13</v>
      </c>
      <c r="I564" s="16">
        <v>2013</v>
      </c>
      <c r="J564" s="16" t="s">
        <v>3623</v>
      </c>
      <c r="K564" s="16" t="s">
        <v>3624</v>
      </c>
      <c r="L564" s="16" t="s">
        <v>15</v>
      </c>
      <c r="M564" s="16" t="s">
        <v>3625</v>
      </c>
      <c r="N564" s="16"/>
      <c r="O564" s="16"/>
    </row>
    <row r="565" spans="1:15" x14ac:dyDescent="0.3">
      <c r="A565" s="16">
        <v>564</v>
      </c>
      <c r="B565" s="16" t="s">
        <v>1641</v>
      </c>
      <c r="C565" s="16" t="str">
        <f>"V2949872190001"</f>
        <v>V2949872190001</v>
      </c>
      <c r="D565" s="16" t="s">
        <v>3626</v>
      </c>
      <c r="E565" s="16" t="s">
        <v>3573</v>
      </c>
      <c r="F565" s="19" t="s">
        <v>3574</v>
      </c>
      <c r="G565" s="16" t="s">
        <v>2868</v>
      </c>
      <c r="H565" s="16" t="s">
        <v>13</v>
      </c>
      <c r="I565" s="16">
        <v>2013</v>
      </c>
      <c r="J565" s="16" t="s">
        <v>3627</v>
      </c>
      <c r="K565" s="16" t="s">
        <v>2220</v>
      </c>
      <c r="L565" s="16" t="s">
        <v>15</v>
      </c>
      <c r="M565" s="16" t="s">
        <v>3628</v>
      </c>
      <c r="N565" s="16"/>
      <c r="O565" s="16"/>
    </row>
    <row r="566" spans="1:15" x14ac:dyDescent="0.3">
      <c r="A566" s="16">
        <v>565</v>
      </c>
      <c r="B566" s="16" t="s">
        <v>1641</v>
      </c>
      <c r="C566" s="16" t="str">
        <f>"V2949872191001"</f>
        <v>V2949872191001</v>
      </c>
      <c r="D566" s="16" t="s">
        <v>3629</v>
      </c>
      <c r="E566" s="16" t="s">
        <v>3573</v>
      </c>
      <c r="F566" s="19" t="s">
        <v>3574</v>
      </c>
      <c r="G566" s="16" t="s">
        <v>2868</v>
      </c>
      <c r="H566" s="16" t="s">
        <v>13</v>
      </c>
      <c r="I566" s="16">
        <v>2013</v>
      </c>
      <c r="J566" s="16" t="s">
        <v>3630</v>
      </c>
      <c r="K566" s="16" t="s">
        <v>2836</v>
      </c>
      <c r="L566" s="16" t="s">
        <v>15</v>
      </c>
      <c r="M566" s="16" t="s">
        <v>3631</v>
      </c>
      <c r="N566" s="16"/>
      <c r="O566" s="16"/>
    </row>
    <row r="567" spans="1:15" x14ac:dyDescent="0.3">
      <c r="A567" s="16">
        <v>566</v>
      </c>
      <c r="B567" s="16" t="s">
        <v>1641</v>
      </c>
      <c r="C567" s="16" t="str">
        <f>"V2949872192001"</f>
        <v>V2949872192001</v>
      </c>
      <c r="D567" s="16" t="s">
        <v>3632</v>
      </c>
      <c r="E567" s="16" t="s">
        <v>3573</v>
      </c>
      <c r="F567" s="19" t="s">
        <v>3574</v>
      </c>
      <c r="G567" s="16" t="s">
        <v>2868</v>
      </c>
      <c r="H567" s="16" t="s">
        <v>13</v>
      </c>
      <c r="I567" s="16">
        <v>2013</v>
      </c>
      <c r="J567" s="16" t="s">
        <v>3633</v>
      </c>
      <c r="K567" s="16" t="s">
        <v>3634</v>
      </c>
      <c r="L567" s="16" t="s">
        <v>15</v>
      </c>
      <c r="M567" s="16" t="s">
        <v>3635</v>
      </c>
      <c r="N567" s="16"/>
      <c r="O567" s="16"/>
    </row>
    <row r="568" spans="1:15" x14ac:dyDescent="0.3">
      <c r="A568" s="16">
        <v>567</v>
      </c>
      <c r="B568" s="16" t="s">
        <v>1641</v>
      </c>
      <c r="C568" s="16" t="str">
        <f>"V2949872193001"</f>
        <v>V2949872193001</v>
      </c>
      <c r="D568" s="16" t="s">
        <v>3636</v>
      </c>
      <c r="E568" s="16" t="s">
        <v>3573</v>
      </c>
      <c r="F568" s="19" t="s">
        <v>3574</v>
      </c>
      <c r="G568" s="16" t="s">
        <v>2868</v>
      </c>
      <c r="H568" s="16" t="s">
        <v>13</v>
      </c>
      <c r="I568" s="16">
        <v>2013</v>
      </c>
      <c r="J568" s="16" t="s">
        <v>3637</v>
      </c>
      <c r="K568" s="16" t="s">
        <v>3638</v>
      </c>
      <c r="L568" s="16" t="s">
        <v>15</v>
      </c>
      <c r="M568" s="16" t="s">
        <v>3639</v>
      </c>
      <c r="N568" s="16"/>
      <c r="O568" s="16"/>
    </row>
    <row r="569" spans="1:15" x14ac:dyDescent="0.3">
      <c r="A569" s="16">
        <v>568</v>
      </c>
      <c r="B569" s="16" t="s">
        <v>1641</v>
      </c>
      <c r="C569" s="16" t="str">
        <f>"V2949872194001"</f>
        <v>V2949872194001</v>
      </c>
      <c r="D569" s="16" t="s">
        <v>3640</v>
      </c>
      <c r="E569" s="16" t="s">
        <v>3573</v>
      </c>
      <c r="F569" s="19" t="s">
        <v>3574</v>
      </c>
      <c r="G569" s="16" t="s">
        <v>2868</v>
      </c>
      <c r="H569" s="16" t="s">
        <v>13</v>
      </c>
      <c r="I569" s="16">
        <v>2013</v>
      </c>
      <c r="J569" s="16" t="s">
        <v>3641</v>
      </c>
      <c r="K569" s="16" t="s">
        <v>3642</v>
      </c>
      <c r="L569" s="16" t="s">
        <v>15</v>
      </c>
      <c r="M569" s="16" t="s">
        <v>3643</v>
      </c>
      <c r="N569" s="16"/>
      <c r="O569" s="16"/>
    </row>
    <row r="570" spans="1:15" x14ac:dyDescent="0.3">
      <c r="A570" s="16">
        <v>569</v>
      </c>
      <c r="B570" s="16" t="s">
        <v>1641</v>
      </c>
      <c r="C570" s="16" t="str">
        <f>"V2949872195001"</f>
        <v>V2949872195001</v>
      </c>
      <c r="D570" s="16" t="s">
        <v>3644</v>
      </c>
      <c r="E570" s="16" t="s">
        <v>3573</v>
      </c>
      <c r="F570" s="19" t="s">
        <v>3574</v>
      </c>
      <c r="G570" s="16" t="s">
        <v>2868</v>
      </c>
      <c r="H570" s="16" t="s">
        <v>13</v>
      </c>
      <c r="I570" s="16">
        <v>2013</v>
      </c>
      <c r="J570" s="16" t="s">
        <v>3645</v>
      </c>
      <c r="K570" s="16" t="s">
        <v>3642</v>
      </c>
      <c r="L570" s="16" t="s">
        <v>15</v>
      </c>
      <c r="M570" s="16" t="s">
        <v>3646</v>
      </c>
      <c r="N570" s="16"/>
      <c r="O570" s="16"/>
    </row>
    <row r="571" spans="1:15" x14ac:dyDescent="0.3">
      <c r="A571" s="16">
        <v>570</v>
      </c>
      <c r="B571" s="16" t="s">
        <v>1641</v>
      </c>
      <c r="C571" s="16" t="str">
        <f>"V2949872196001"</f>
        <v>V2949872196001</v>
      </c>
      <c r="D571" s="16" t="s">
        <v>3647</v>
      </c>
      <c r="E571" s="16" t="s">
        <v>3573</v>
      </c>
      <c r="F571" s="19" t="s">
        <v>3574</v>
      </c>
      <c r="G571" s="16" t="s">
        <v>2868</v>
      </c>
      <c r="H571" s="16" t="s">
        <v>13</v>
      </c>
      <c r="I571" s="16">
        <v>2013</v>
      </c>
      <c r="J571" s="16" t="s">
        <v>3648</v>
      </c>
      <c r="K571" s="16" t="s">
        <v>3649</v>
      </c>
      <c r="L571" s="16" t="s">
        <v>15</v>
      </c>
      <c r="M571" s="16" t="s">
        <v>3650</v>
      </c>
      <c r="N571" s="16"/>
      <c r="O571" s="16"/>
    </row>
    <row r="572" spans="1:15" x14ac:dyDescent="0.3">
      <c r="A572" s="16">
        <v>571</v>
      </c>
      <c r="B572" s="16" t="s">
        <v>1641</v>
      </c>
      <c r="C572" s="16" t="str">
        <f>"V2949872197001"</f>
        <v>V2949872197001</v>
      </c>
      <c r="D572" s="16" t="s">
        <v>3651</v>
      </c>
      <c r="E572" s="16" t="s">
        <v>3573</v>
      </c>
      <c r="F572" s="19" t="s">
        <v>3574</v>
      </c>
      <c r="G572" s="16" t="s">
        <v>2868</v>
      </c>
      <c r="H572" s="16" t="s">
        <v>13</v>
      </c>
      <c r="I572" s="16">
        <v>2013</v>
      </c>
      <c r="J572" s="16" t="s">
        <v>3652</v>
      </c>
      <c r="K572" s="16" t="s">
        <v>3653</v>
      </c>
      <c r="L572" s="16" t="s">
        <v>15</v>
      </c>
      <c r="M572" s="16" t="s">
        <v>3654</v>
      </c>
      <c r="N572" s="16"/>
      <c r="O572" s="16"/>
    </row>
    <row r="573" spans="1:15" x14ac:dyDescent="0.3">
      <c r="A573" s="16">
        <v>572</v>
      </c>
      <c r="B573" s="16" t="s">
        <v>1641</v>
      </c>
      <c r="C573" s="16" t="str">
        <f>"V2949872198001"</f>
        <v>V2949872198001</v>
      </c>
      <c r="D573" s="16" t="s">
        <v>3655</v>
      </c>
      <c r="E573" s="16" t="s">
        <v>3573</v>
      </c>
      <c r="F573" s="19" t="s">
        <v>3574</v>
      </c>
      <c r="G573" s="16" t="s">
        <v>2868</v>
      </c>
      <c r="H573" s="16" t="s">
        <v>13</v>
      </c>
      <c r="I573" s="16">
        <v>2013</v>
      </c>
      <c r="J573" s="16" t="s">
        <v>3656</v>
      </c>
      <c r="K573" s="16" t="s">
        <v>3657</v>
      </c>
      <c r="L573" s="16" t="s">
        <v>15</v>
      </c>
      <c r="M573" s="16" t="s">
        <v>3658</v>
      </c>
      <c r="N573" s="16"/>
      <c r="O573" s="16"/>
    </row>
    <row r="574" spans="1:15" x14ac:dyDescent="0.3">
      <c r="A574" s="16">
        <v>573</v>
      </c>
      <c r="B574" s="16" t="s">
        <v>1641</v>
      </c>
      <c r="C574" s="16" t="str">
        <f>"V3128267242001"</f>
        <v>V3128267242001</v>
      </c>
      <c r="D574" s="16" t="s">
        <v>3659</v>
      </c>
      <c r="E574" s="16" t="s">
        <v>3660</v>
      </c>
      <c r="F574" s="21">
        <v>9780071816717</v>
      </c>
      <c r="G574" s="16" t="s">
        <v>2022</v>
      </c>
      <c r="H574" s="16" t="s">
        <v>13</v>
      </c>
      <c r="I574" s="16">
        <v>2014</v>
      </c>
      <c r="J574" s="16" t="s">
        <v>3661</v>
      </c>
      <c r="K574" s="16" t="s">
        <v>2162</v>
      </c>
      <c r="L574" s="16" t="s">
        <v>15</v>
      </c>
      <c r="M574" s="16" t="s">
        <v>3662</v>
      </c>
      <c r="N574" s="16"/>
      <c r="O574" s="16"/>
    </row>
    <row r="575" spans="1:15" x14ac:dyDescent="0.3">
      <c r="A575" s="16">
        <v>574</v>
      </c>
      <c r="B575" s="16" t="s">
        <v>1641</v>
      </c>
      <c r="C575" s="16" t="str">
        <f>"V3128349457001"</f>
        <v>V3128349457001</v>
      </c>
      <c r="D575" s="16" t="s">
        <v>3663</v>
      </c>
      <c r="E575" s="16" t="s">
        <v>3660</v>
      </c>
      <c r="F575" s="21">
        <v>9780071816717</v>
      </c>
      <c r="G575" s="16" t="s">
        <v>2022</v>
      </c>
      <c r="H575" s="16" t="s">
        <v>13</v>
      </c>
      <c r="I575" s="16">
        <v>2014</v>
      </c>
      <c r="J575" s="16" t="s">
        <v>3664</v>
      </c>
      <c r="K575" s="16" t="s">
        <v>3412</v>
      </c>
      <c r="L575" s="16" t="s">
        <v>15</v>
      </c>
      <c r="M575" s="16" t="s">
        <v>3665</v>
      </c>
      <c r="N575" s="16"/>
      <c r="O575" s="16"/>
    </row>
    <row r="576" spans="1:15" x14ac:dyDescent="0.3">
      <c r="A576" s="16">
        <v>575</v>
      </c>
      <c r="B576" s="16" t="s">
        <v>1641</v>
      </c>
      <c r="C576" s="16" t="str">
        <f>"V3128349458001"</f>
        <v>V3128349458001</v>
      </c>
      <c r="D576" s="16" t="s">
        <v>3666</v>
      </c>
      <c r="E576" s="16" t="s">
        <v>3660</v>
      </c>
      <c r="F576" s="21">
        <v>9780071816717</v>
      </c>
      <c r="G576" s="16" t="s">
        <v>2022</v>
      </c>
      <c r="H576" s="16" t="s">
        <v>13</v>
      </c>
      <c r="I576" s="16">
        <v>2014</v>
      </c>
      <c r="J576" s="16" t="s">
        <v>3667</v>
      </c>
      <c r="K576" s="16" t="s">
        <v>2176</v>
      </c>
      <c r="L576" s="16" t="s">
        <v>15</v>
      </c>
      <c r="M576" s="16" t="s">
        <v>3668</v>
      </c>
      <c r="N576" s="16"/>
      <c r="O576" s="16"/>
    </row>
    <row r="577" spans="1:15" x14ac:dyDescent="0.3">
      <c r="A577" s="16">
        <v>576</v>
      </c>
      <c r="B577" s="16" t="s">
        <v>1641</v>
      </c>
      <c r="C577" s="16" t="str">
        <f>"V3128349459001"</f>
        <v>V3128349459001</v>
      </c>
      <c r="D577" s="16" t="s">
        <v>3669</v>
      </c>
      <c r="E577" s="16" t="s">
        <v>3660</v>
      </c>
      <c r="F577" s="21">
        <v>9780071816717</v>
      </c>
      <c r="G577" s="16" t="s">
        <v>2022</v>
      </c>
      <c r="H577" s="16" t="s">
        <v>13</v>
      </c>
      <c r="I577" s="16">
        <v>2014</v>
      </c>
      <c r="J577" s="16" t="s">
        <v>3670</v>
      </c>
      <c r="K577" s="16" t="s">
        <v>2162</v>
      </c>
      <c r="L577" s="16" t="s">
        <v>15</v>
      </c>
      <c r="M577" s="16" t="s">
        <v>3671</v>
      </c>
      <c r="N577" s="16"/>
      <c r="O577" s="16"/>
    </row>
    <row r="578" spans="1:15" x14ac:dyDescent="0.3">
      <c r="A578" s="16">
        <v>577</v>
      </c>
      <c r="B578" s="16" t="s">
        <v>1641</v>
      </c>
      <c r="C578" s="16" t="str">
        <f>"V3128349460001"</f>
        <v>V3128349460001</v>
      </c>
      <c r="D578" s="16" t="s">
        <v>3672</v>
      </c>
      <c r="E578" s="16" t="s">
        <v>3660</v>
      </c>
      <c r="F578" s="21">
        <v>9780071816717</v>
      </c>
      <c r="G578" s="16" t="s">
        <v>2022</v>
      </c>
      <c r="H578" s="16" t="s">
        <v>13</v>
      </c>
      <c r="I578" s="16">
        <v>2014</v>
      </c>
      <c r="J578" s="16" t="s">
        <v>3673</v>
      </c>
      <c r="K578" s="16" t="s">
        <v>2176</v>
      </c>
      <c r="L578" s="16" t="s">
        <v>15</v>
      </c>
      <c r="M578" s="16" t="s">
        <v>3674</v>
      </c>
      <c r="N578" s="16"/>
      <c r="O578" s="16"/>
    </row>
    <row r="579" spans="1:15" x14ac:dyDescent="0.3">
      <c r="A579" s="16">
        <v>578</v>
      </c>
      <c r="B579" s="16" t="s">
        <v>1641</v>
      </c>
      <c r="C579" s="16" t="str">
        <f>"V3128349461001"</f>
        <v>V3128349461001</v>
      </c>
      <c r="D579" s="16" t="s">
        <v>3675</v>
      </c>
      <c r="E579" s="16" t="s">
        <v>3660</v>
      </c>
      <c r="F579" s="21">
        <v>9780071816717</v>
      </c>
      <c r="G579" s="16" t="s">
        <v>2022</v>
      </c>
      <c r="H579" s="16" t="s">
        <v>13</v>
      </c>
      <c r="I579" s="16">
        <v>2014</v>
      </c>
      <c r="J579" s="16" t="s">
        <v>3676</v>
      </c>
      <c r="K579" s="16" t="s">
        <v>3677</v>
      </c>
      <c r="L579" s="16" t="s">
        <v>15</v>
      </c>
      <c r="M579" s="16" t="s">
        <v>3678</v>
      </c>
      <c r="N579" s="16"/>
      <c r="O579" s="16"/>
    </row>
    <row r="580" spans="1:15" x14ac:dyDescent="0.3">
      <c r="A580" s="16">
        <v>579</v>
      </c>
      <c r="B580" s="16" t="s">
        <v>1641</v>
      </c>
      <c r="C580" s="16" t="str">
        <f>"V3128349462001"</f>
        <v>V3128349462001</v>
      </c>
      <c r="D580" s="16" t="s">
        <v>3679</v>
      </c>
      <c r="E580" s="16" t="s">
        <v>3660</v>
      </c>
      <c r="F580" s="21">
        <v>9780071816717</v>
      </c>
      <c r="G580" s="16" t="s">
        <v>2022</v>
      </c>
      <c r="H580" s="16" t="s">
        <v>13</v>
      </c>
      <c r="I580" s="16">
        <v>2014</v>
      </c>
      <c r="J580" s="16" t="s">
        <v>3680</v>
      </c>
      <c r="K580" s="16" t="s">
        <v>3350</v>
      </c>
      <c r="L580" s="16" t="s">
        <v>15</v>
      </c>
      <c r="M580" s="16" t="s">
        <v>3681</v>
      </c>
      <c r="N580" s="16"/>
      <c r="O580" s="16"/>
    </row>
    <row r="581" spans="1:15" x14ac:dyDescent="0.3">
      <c r="A581" s="16">
        <v>580</v>
      </c>
      <c r="B581" s="16" t="s">
        <v>1641</v>
      </c>
      <c r="C581" s="16" t="str">
        <f>"V3128349463001"</f>
        <v>V3128349463001</v>
      </c>
      <c r="D581" s="16" t="s">
        <v>3682</v>
      </c>
      <c r="E581" s="16" t="s">
        <v>3660</v>
      </c>
      <c r="F581" s="21">
        <v>9780071816717</v>
      </c>
      <c r="G581" s="16" t="s">
        <v>2022</v>
      </c>
      <c r="H581" s="16" t="s">
        <v>13</v>
      </c>
      <c r="I581" s="16">
        <v>2014</v>
      </c>
      <c r="J581" s="16" t="s">
        <v>3683</v>
      </c>
      <c r="K581" s="16" t="s">
        <v>3412</v>
      </c>
      <c r="L581" s="16" t="s">
        <v>15</v>
      </c>
      <c r="M581" s="16" t="s">
        <v>3684</v>
      </c>
      <c r="N581" s="16"/>
      <c r="O581" s="16"/>
    </row>
    <row r="582" spans="1:15" x14ac:dyDescent="0.3">
      <c r="A582" s="16">
        <v>581</v>
      </c>
      <c r="B582" s="16" t="s">
        <v>1641</v>
      </c>
      <c r="C582" s="16" t="str">
        <f>"V3128349464001"</f>
        <v>V3128349464001</v>
      </c>
      <c r="D582" s="16" t="s">
        <v>3685</v>
      </c>
      <c r="E582" s="16" t="s">
        <v>3660</v>
      </c>
      <c r="F582" s="21">
        <v>9780071816717</v>
      </c>
      <c r="G582" s="16" t="s">
        <v>2022</v>
      </c>
      <c r="H582" s="16" t="s">
        <v>13</v>
      </c>
      <c r="I582" s="16">
        <v>2014</v>
      </c>
      <c r="J582" s="16" t="s">
        <v>3686</v>
      </c>
      <c r="K582" s="16" t="s">
        <v>20</v>
      </c>
      <c r="L582" s="16" t="s">
        <v>15</v>
      </c>
      <c r="M582" s="16" t="s">
        <v>3687</v>
      </c>
      <c r="N582" s="16"/>
      <c r="O582" s="16"/>
    </row>
    <row r="583" spans="1:15" x14ac:dyDescent="0.3">
      <c r="A583" s="16">
        <v>582</v>
      </c>
      <c r="B583" s="16" t="s">
        <v>1641</v>
      </c>
      <c r="C583" s="16" t="str">
        <f>"V3128349465001"</f>
        <v>V3128349465001</v>
      </c>
      <c r="D583" s="16" t="s">
        <v>3688</v>
      </c>
      <c r="E583" s="16" t="s">
        <v>3660</v>
      </c>
      <c r="F583" s="21">
        <v>9780071816717</v>
      </c>
      <c r="G583" s="16" t="s">
        <v>2022</v>
      </c>
      <c r="H583" s="16" t="s">
        <v>13</v>
      </c>
      <c r="I583" s="16">
        <v>2014</v>
      </c>
      <c r="J583" s="16" t="s">
        <v>3689</v>
      </c>
      <c r="K583" s="16" t="s">
        <v>3690</v>
      </c>
      <c r="L583" s="16" t="s">
        <v>15</v>
      </c>
      <c r="M583" s="16" t="s">
        <v>3691</v>
      </c>
      <c r="N583" s="16"/>
      <c r="O583" s="16"/>
    </row>
    <row r="584" spans="1:15" x14ac:dyDescent="0.3">
      <c r="A584" s="16">
        <v>583</v>
      </c>
      <c r="B584" s="16" t="s">
        <v>1641</v>
      </c>
      <c r="C584" s="16" t="str">
        <f>"V3128349466001"</f>
        <v>V3128349466001</v>
      </c>
      <c r="D584" s="16" t="s">
        <v>3692</v>
      </c>
      <c r="E584" s="16" t="s">
        <v>3660</v>
      </c>
      <c r="F584" s="21">
        <v>9780071816717</v>
      </c>
      <c r="G584" s="16" t="s">
        <v>2022</v>
      </c>
      <c r="H584" s="16" t="s">
        <v>13</v>
      </c>
      <c r="I584" s="16">
        <v>2014</v>
      </c>
      <c r="J584" s="16" t="s">
        <v>3693</v>
      </c>
      <c r="K584" s="16" t="s">
        <v>2162</v>
      </c>
      <c r="L584" s="16" t="s">
        <v>15</v>
      </c>
      <c r="M584" s="16" t="s">
        <v>3694</v>
      </c>
      <c r="N584" s="16"/>
      <c r="O584" s="16"/>
    </row>
    <row r="585" spans="1:15" x14ac:dyDescent="0.3">
      <c r="A585" s="16">
        <v>584</v>
      </c>
      <c r="B585" s="16" t="s">
        <v>1641</v>
      </c>
      <c r="C585" s="16" t="str">
        <f>"V3128349467001"</f>
        <v>V3128349467001</v>
      </c>
      <c r="D585" s="16" t="s">
        <v>3695</v>
      </c>
      <c r="E585" s="16" t="s">
        <v>3660</v>
      </c>
      <c r="F585" s="21">
        <v>9780071816717</v>
      </c>
      <c r="G585" s="16" t="s">
        <v>2022</v>
      </c>
      <c r="H585" s="16" t="s">
        <v>13</v>
      </c>
      <c r="I585" s="16">
        <v>2014</v>
      </c>
      <c r="J585" s="16" t="s">
        <v>3696</v>
      </c>
      <c r="K585" s="16" t="s">
        <v>3350</v>
      </c>
      <c r="L585" s="16" t="s">
        <v>15</v>
      </c>
      <c r="M585" s="16" t="s">
        <v>3697</v>
      </c>
      <c r="N585" s="16"/>
      <c r="O585" s="16"/>
    </row>
    <row r="586" spans="1:15" x14ac:dyDescent="0.3">
      <c r="A586" s="16">
        <v>585</v>
      </c>
      <c r="B586" s="16" t="s">
        <v>1641</v>
      </c>
      <c r="C586" s="16" t="str">
        <f>"V3128349468001"</f>
        <v>V3128349468001</v>
      </c>
      <c r="D586" s="16" t="s">
        <v>3698</v>
      </c>
      <c r="E586" s="16" t="s">
        <v>3660</v>
      </c>
      <c r="F586" s="21">
        <v>9780071816717</v>
      </c>
      <c r="G586" s="16" t="s">
        <v>2022</v>
      </c>
      <c r="H586" s="16" t="s">
        <v>13</v>
      </c>
      <c r="I586" s="16">
        <v>2014</v>
      </c>
      <c r="J586" s="16" t="s">
        <v>3699</v>
      </c>
      <c r="K586" s="16" t="s">
        <v>3412</v>
      </c>
      <c r="L586" s="16" t="s">
        <v>15</v>
      </c>
      <c r="M586" s="16" t="s">
        <v>3700</v>
      </c>
      <c r="N586" s="16"/>
      <c r="O586" s="16"/>
    </row>
    <row r="587" spans="1:15" x14ac:dyDescent="0.3">
      <c r="A587" s="16">
        <v>586</v>
      </c>
      <c r="B587" s="16" t="s">
        <v>1641</v>
      </c>
      <c r="C587" s="16" t="str">
        <f>"V3187552889001"</f>
        <v>V3187552889001</v>
      </c>
      <c r="D587" s="16" t="s">
        <v>3701</v>
      </c>
      <c r="E587" s="16" t="s">
        <v>3702</v>
      </c>
      <c r="F587" s="21">
        <v>9780071748759</v>
      </c>
      <c r="G587" s="16" t="s">
        <v>617</v>
      </c>
      <c r="H587" s="16" t="s">
        <v>13</v>
      </c>
      <c r="I587" s="16">
        <v>2011</v>
      </c>
      <c r="J587" s="16" t="s">
        <v>1319</v>
      </c>
      <c r="K587" s="16" t="s">
        <v>220</v>
      </c>
      <c r="L587" s="16" t="s">
        <v>15</v>
      </c>
      <c r="M587" s="16" t="s">
        <v>3703</v>
      </c>
      <c r="N587" s="16"/>
      <c r="O587" s="16"/>
    </row>
    <row r="588" spans="1:15" x14ac:dyDescent="0.3">
      <c r="A588" s="16">
        <v>587</v>
      </c>
      <c r="B588" s="16" t="s">
        <v>1641</v>
      </c>
      <c r="C588" s="16" t="str">
        <f>"V3187552890001"</f>
        <v>V3187552890001</v>
      </c>
      <c r="D588" s="16" t="s">
        <v>3704</v>
      </c>
      <c r="E588" s="16" t="s">
        <v>3702</v>
      </c>
      <c r="F588" s="21">
        <v>9780071748759</v>
      </c>
      <c r="G588" s="16" t="s">
        <v>617</v>
      </c>
      <c r="H588" s="16" t="s">
        <v>13</v>
      </c>
      <c r="I588" s="16">
        <v>2011</v>
      </c>
      <c r="J588" s="16" t="s">
        <v>1319</v>
      </c>
      <c r="K588" s="16" t="s">
        <v>220</v>
      </c>
      <c r="L588" s="16" t="s">
        <v>15</v>
      </c>
      <c r="M588" s="16" t="s">
        <v>3705</v>
      </c>
      <c r="N588" s="16"/>
      <c r="O588" s="16"/>
    </row>
    <row r="589" spans="1:15" x14ac:dyDescent="0.3">
      <c r="A589" s="16">
        <v>588</v>
      </c>
      <c r="B589" s="16" t="s">
        <v>1641</v>
      </c>
      <c r="C589" s="16" t="str">
        <f>"V3187552891001"</f>
        <v>V3187552891001</v>
      </c>
      <c r="D589" s="16" t="s">
        <v>3706</v>
      </c>
      <c r="E589" s="16" t="s">
        <v>3702</v>
      </c>
      <c r="F589" s="21">
        <v>9780071748759</v>
      </c>
      <c r="G589" s="16" t="s">
        <v>617</v>
      </c>
      <c r="H589" s="16" t="s">
        <v>13</v>
      </c>
      <c r="I589" s="16">
        <v>2011</v>
      </c>
      <c r="J589" s="16" t="s">
        <v>1319</v>
      </c>
      <c r="K589" s="16" t="s">
        <v>220</v>
      </c>
      <c r="L589" s="16" t="s">
        <v>15</v>
      </c>
      <c r="M589" s="16" t="s">
        <v>3707</v>
      </c>
      <c r="N589" s="16"/>
      <c r="O589" s="16"/>
    </row>
    <row r="590" spans="1:15" x14ac:dyDescent="0.3">
      <c r="A590" s="16">
        <v>589</v>
      </c>
      <c r="B590" s="16" t="s">
        <v>1641</v>
      </c>
      <c r="C590" s="16" t="str">
        <f>"V3187552892001"</f>
        <v>V3187552892001</v>
      </c>
      <c r="D590" s="16" t="s">
        <v>3708</v>
      </c>
      <c r="E590" s="16" t="s">
        <v>3702</v>
      </c>
      <c r="F590" s="21">
        <v>9780071748759</v>
      </c>
      <c r="G590" s="16" t="s">
        <v>617</v>
      </c>
      <c r="H590" s="16" t="s">
        <v>13</v>
      </c>
      <c r="I590" s="16">
        <v>2011</v>
      </c>
      <c r="J590" s="16" t="s">
        <v>1319</v>
      </c>
      <c r="K590" s="16" t="s">
        <v>220</v>
      </c>
      <c r="L590" s="16" t="s">
        <v>15</v>
      </c>
      <c r="M590" s="16" t="s">
        <v>3709</v>
      </c>
      <c r="N590" s="16"/>
      <c r="O590" s="16"/>
    </row>
    <row r="591" spans="1:15" x14ac:dyDescent="0.3">
      <c r="A591" s="16">
        <v>590</v>
      </c>
      <c r="B591" s="16" t="s">
        <v>1641</v>
      </c>
      <c r="C591" s="16" t="str">
        <f>"V3187552893001"</f>
        <v>V3187552893001</v>
      </c>
      <c r="D591" s="16" t="s">
        <v>3710</v>
      </c>
      <c r="E591" s="16" t="s">
        <v>3702</v>
      </c>
      <c r="F591" s="21">
        <v>9780071748759</v>
      </c>
      <c r="G591" s="16" t="s">
        <v>617</v>
      </c>
      <c r="H591" s="16" t="s">
        <v>13</v>
      </c>
      <c r="I591" s="16">
        <v>2011</v>
      </c>
      <c r="J591" s="16" t="s">
        <v>1319</v>
      </c>
      <c r="K591" s="16" t="s">
        <v>220</v>
      </c>
      <c r="L591" s="16" t="s">
        <v>15</v>
      </c>
      <c r="M591" s="16" t="s">
        <v>3711</v>
      </c>
      <c r="N591" s="16"/>
      <c r="O591" s="16"/>
    </row>
    <row r="592" spans="1:15" x14ac:dyDescent="0.3">
      <c r="A592" s="16">
        <v>591</v>
      </c>
      <c r="B592" s="16" t="s">
        <v>1641</v>
      </c>
      <c r="C592" s="16" t="str">
        <f>"V3187552894001"</f>
        <v>V3187552894001</v>
      </c>
      <c r="D592" s="16" t="s">
        <v>3712</v>
      </c>
      <c r="E592" s="16" t="s">
        <v>3702</v>
      </c>
      <c r="F592" s="21">
        <v>9780071748759</v>
      </c>
      <c r="G592" s="16" t="s">
        <v>617</v>
      </c>
      <c r="H592" s="16" t="s">
        <v>13</v>
      </c>
      <c r="I592" s="16">
        <v>2011</v>
      </c>
      <c r="J592" s="16" t="s">
        <v>1319</v>
      </c>
      <c r="K592" s="16" t="s">
        <v>220</v>
      </c>
      <c r="L592" s="16" t="s">
        <v>15</v>
      </c>
      <c r="M592" s="16" t="s">
        <v>3713</v>
      </c>
      <c r="N592" s="16"/>
      <c r="O592" s="16"/>
    </row>
    <row r="593" spans="1:15" x14ac:dyDescent="0.3">
      <c r="A593" s="16">
        <v>592</v>
      </c>
      <c r="B593" s="16" t="s">
        <v>1641</v>
      </c>
      <c r="C593" s="16" t="str">
        <f>"V3187552895001"</f>
        <v>V3187552895001</v>
      </c>
      <c r="D593" s="16" t="s">
        <v>3714</v>
      </c>
      <c r="E593" s="16" t="s">
        <v>3702</v>
      </c>
      <c r="F593" s="21">
        <v>9780071748759</v>
      </c>
      <c r="G593" s="16" t="s">
        <v>617</v>
      </c>
      <c r="H593" s="16" t="s">
        <v>13</v>
      </c>
      <c r="I593" s="16">
        <v>2011</v>
      </c>
      <c r="J593" s="16" t="s">
        <v>1319</v>
      </c>
      <c r="K593" s="16" t="s">
        <v>220</v>
      </c>
      <c r="L593" s="16" t="s">
        <v>15</v>
      </c>
      <c r="M593" s="16" t="s">
        <v>3715</v>
      </c>
      <c r="N593" s="16"/>
      <c r="O593" s="16"/>
    </row>
    <row r="594" spans="1:15" x14ac:dyDescent="0.3">
      <c r="A594" s="16">
        <v>593</v>
      </c>
      <c r="B594" s="16" t="s">
        <v>1641</v>
      </c>
      <c r="C594" s="16" t="str">
        <f>"V3187552896001"</f>
        <v>V3187552896001</v>
      </c>
      <c r="D594" s="16" t="s">
        <v>3716</v>
      </c>
      <c r="E594" s="16" t="s">
        <v>3702</v>
      </c>
      <c r="F594" s="21">
        <v>9780071748759</v>
      </c>
      <c r="G594" s="16" t="s">
        <v>617</v>
      </c>
      <c r="H594" s="16" t="s">
        <v>13</v>
      </c>
      <c r="I594" s="16">
        <v>2011</v>
      </c>
      <c r="J594" s="16" t="s">
        <v>1319</v>
      </c>
      <c r="K594" s="16" t="s">
        <v>220</v>
      </c>
      <c r="L594" s="16" t="s">
        <v>15</v>
      </c>
      <c r="M594" s="16" t="s">
        <v>3717</v>
      </c>
      <c r="N594" s="16"/>
      <c r="O594" s="16"/>
    </row>
    <row r="595" spans="1:15" x14ac:dyDescent="0.3">
      <c r="A595" s="16">
        <v>594</v>
      </c>
      <c r="B595" s="16" t="s">
        <v>1641</v>
      </c>
      <c r="C595" s="16" t="str">
        <f>"V3187552897001"</f>
        <v>V3187552897001</v>
      </c>
      <c r="D595" s="16" t="s">
        <v>3718</v>
      </c>
      <c r="E595" s="16" t="s">
        <v>3702</v>
      </c>
      <c r="F595" s="21">
        <v>9780071748759</v>
      </c>
      <c r="G595" s="16" t="s">
        <v>617</v>
      </c>
      <c r="H595" s="16" t="s">
        <v>13</v>
      </c>
      <c r="I595" s="16">
        <v>2011</v>
      </c>
      <c r="J595" s="16" t="s">
        <v>1319</v>
      </c>
      <c r="K595" s="16" t="s">
        <v>220</v>
      </c>
      <c r="L595" s="16" t="s">
        <v>15</v>
      </c>
      <c r="M595" s="16" t="s">
        <v>3719</v>
      </c>
      <c r="N595" s="16"/>
      <c r="O595" s="16"/>
    </row>
    <row r="596" spans="1:15" x14ac:dyDescent="0.3">
      <c r="A596" s="16">
        <v>595</v>
      </c>
      <c r="B596" s="16" t="s">
        <v>1641</v>
      </c>
      <c r="C596" s="16" t="str">
        <f>"V3187552898001"</f>
        <v>V3187552898001</v>
      </c>
      <c r="D596" s="16" t="s">
        <v>3720</v>
      </c>
      <c r="E596" s="16" t="s">
        <v>3702</v>
      </c>
      <c r="F596" s="21">
        <v>9780071748759</v>
      </c>
      <c r="G596" s="16" t="s">
        <v>617</v>
      </c>
      <c r="H596" s="16" t="s">
        <v>13</v>
      </c>
      <c r="I596" s="16">
        <v>2011</v>
      </c>
      <c r="J596" s="16" t="s">
        <v>1319</v>
      </c>
      <c r="K596" s="16" t="s">
        <v>220</v>
      </c>
      <c r="L596" s="16" t="s">
        <v>15</v>
      </c>
      <c r="M596" s="16" t="s">
        <v>3721</v>
      </c>
      <c r="N596" s="16"/>
      <c r="O596" s="16"/>
    </row>
    <row r="597" spans="1:15" x14ac:dyDescent="0.3">
      <c r="A597" s="16">
        <v>596</v>
      </c>
      <c r="B597" s="16" t="s">
        <v>1641</v>
      </c>
      <c r="C597" s="16" t="str">
        <f>"V3422515619001"</f>
        <v>V3422515619001</v>
      </c>
      <c r="D597" s="16" t="s">
        <v>3722</v>
      </c>
      <c r="E597" s="16" t="s">
        <v>868</v>
      </c>
      <c r="F597" s="21">
        <v>9780071798808</v>
      </c>
      <c r="G597" s="16" t="s">
        <v>2022</v>
      </c>
      <c r="H597" s="16" t="s">
        <v>13</v>
      </c>
      <c r="I597" s="16">
        <v>2014</v>
      </c>
      <c r="J597" s="16" t="s">
        <v>3723</v>
      </c>
      <c r="K597" s="16" t="s">
        <v>3311</v>
      </c>
      <c r="L597" s="16" t="s">
        <v>15</v>
      </c>
      <c r="M597" s="16" t="s">
        <v>3724</v>
      </c>
      <c r="N597" s="16"/>
      <c r="O597" s="16"/>
    </row>
    <row r="598" spans="1:15" x14ac:dyDescent="0.3">
      <c r="A598" s="16">
        <v>597</v>
      </c>
      <c r="B598" s="16" t="s">
        <v>1641</v>
      </c>
      <c r="C598" s="16" t="str">
        <f>"V3422515620001"</f>
        <v>V3422515620001</v>
      </c>
      <c r="D598" s="16" t="s">
        <v>3725</v>
      </c>
      <c r="E598" s="16" t="s">
        <v>868</v>
      </c>
      <c r="F598" s="21">
        <v>9780071798808</v>
      </c>
      <c r="G598" s="16" t="s">
        <v>2022</v>
      </c>
      <c r="H598" s="16" t="s">
        <v>13</v>
      </c>
      <c r="I598" s="16">
        <v>2014</v>
      </c>
      <c r="J598" s="16" t="s">
        <v>3726</v>
      </c>
      <c r="K598" s="16" t="s">
        <v>3727</v>
      </c>
      <c r="L598" s="16" t="s">
        <v>15</v>
      </c>
      <c r="M598" s="16" t="s">
        <v>3728</v>
      </c>
      <c r="N598" s="16"/>
      <c r="O598" s="16"/>
    </row>
    <row r="599" spans="1:15" x14ac:dyDescent="0.3">
      <c r="A599" s="16">
        <v>598</v>
      </c>
      <c r="B599" s="16" t="s">
        <v>1641</v>
      </c>
      <c r="C599" s="16" t="str">
        <f>"V3422515621001"</f>
        <v>V3422515621001</v>
      </c>
      <c r="D599" s="16" t="s">
        <v>3729</v>
      </c>
      <c r="E599" s="16" t="s">
        <v>868</v>
      </c>
      <c r="F599" s="21">
        <v>9780071798808</v>
      </c>
      <c r="G599" s="16" t="s">
        <v>2022</v>
      </c>
      <c r="H599" s="16" t="s">
        <v>13</v>
      </c>
      <c r="I599" s="16">
        <v>2014</v>
      </c>
      <c r="J599" s="16" t="s">
        <v>3730</v>
      </c>
      <c r="K599" s="16" t="s">
        <v>2186</v>
      </c>
      <c r="L599" s="16" t="s">
        <v>15</v>
      </c>
      <c r="M599" s="16" t="s">
        <v>3731</v>
      </c>
      <c r="N599" s="16"/>
      <c r="O599" s="16"/>
    </row>
    <row r="600" spans="1:15" x14ac:dyDescent="0.3">
      <c r="A600" s="16">
        <v>599</v>
      </c>
      <c r="B600" s="16" t="s">
        <v>1641</v>
      </c>
      <c r="C600" s="16" t="str">
        <f>"V3422515622001"</f>
        <v>V3422515622001</v>
      </c>
      <c r="D600" s="16" t="s">
        <v>3732</v>
      </c>
      <c r="E600" s="16" t="s">
        <v>868</v>
      </c>
      <c r="F600" s="21">
        <v>9780071798808</v>
      </c>
      <c r="G600" s="16" t="s">
        <v>2022</v>
      </c>
      <c r="H600" s="16" t="s">
        <v>13</v>
      </c>
      <c r="I600" s="16">
        <v>2014</v>
      </c>
      <c r="J600" s="16" t="s">
        <v>3733</v>
      </c>
      <c r="K600" s="16" t="s">
        <v>3734</v>
      </c>
      <c r="L600" s="16" t="s">
        <v>15</v>
      </c>
      <c r="M600" s="16" t="s">
        <v>3735</v>
      </c>
      <c r="N600" s="16"/>
      <c r="O600" s="16"/>
    </row>
    <row r="601" spans="1:15" x14ac:dyDescent="0.3">
      <c r="A601" s="16">
        <v>600</v>
      </c>
      <c r="B601" s="16" t="s">
        <v>1641</v>
      </c>
      <c r="C601" s="16" t="str">
        <f>"V3422515623001"</f>
        <v>V3422515623001</v>
      </c>
      <c r="D601" s="16" t="s">
        <v>3736</v>
      </c>
      <c r="E601" s="16" t="s">
        <v>868</v>
      </c>
      <c r="F601" s="21">
        <v>9780071798808</v>
      </c>
      <c r="G601" s="16" t="s">
        <v>2022</v>
      </c>
      <c r="H601" s="16" t="s">
        <v>13</v>
      </c>
      <c r="I601" s="16">
        <v>2014</v>
      </c>
      <c r="J601" s="16" t="s">
        <v>3737</v>
      </c>
      <c r="K601" s="16" t="s">
        <v>2186</v>
      </c>
      <c r="L601" s="16" t="s">
        <v>15</v>
      </c>
      <c r="M601" s="16" t="s">
        <v>3738</v>
      </c>
      <c r="N601" s="16"/>
      <c r="O601" s="16"/>
    </row>
    <row r="602" spans="1:15" x14ac:dyDescent="0.3">
      <c r="A602" s="16">
        <v>601</v>
      </c>
      <c r="B602" s="16" t="s">
        <v>1641</v>
      </c>
      <c r="C602" s="16" t="str">
        <f>"V3422515624001"</f>
        <v>V3422515624001</v>
      </c>
      <c r="D602" s="16" t="s">
        <v>3739</v>
      </c>
      <c r="E602" s="16" t="s">
        <v>868</v>
      </c>
      <c r="F602" s="21">
        <v>9780071798808</v>
      </c>
      <c r="G602" s="16" t="s">
        <v>2022</v>
      </c>
      <c r="H602" s="16" t="s">
        <v>13</v>
      </c>
      <c r="I602" s="16">
        <v>2014</v>
      </c>
      <c r="J602" s="16" t="s">
        <v>3740</v>
      </c>
      <c r="K602" s="16" t="s">
        <v>2220</v>
      </c>
      <c r="L602" s="16" t="s">
        <v>15</v>
      </c>
      <c r="M602" s="16" t="s">
        <v>3741</v>
      </c>
      <c r="N602" s="16"/>
      <c r="O602" s="16"/>
    </row>
    <row r="603" spans="1:15" x14ac:dyDescent="0.3">
      <c r="A603" s="16">
        <v>602</v>
      </c>
      <c r="B603" s="16" t="s">
        <v>1641</v>
      </c>
      <c r="C603" s="16" t="str">
        <f>"V3615733077001"</f>
        <v>V3615733077001</v>
      </c>
      <c r="D603" s="16" t="s">
        <v>3742</v>
      </c>
      <c r="E603" s="16" t="s">
        <v>3743</v>
      </c>
      <c r="F603" s="22" t="s">
        <v>3744</v>
      </c>
      <c r="G603" s="16" t="s">
        <v>1645</v>
      </c>
      <c r="H603" s="16" t="s">
        <v>13</v>
      </c>
      <c r="I603" s="16">
        <v>2013</v>
      </c>
      <c r="J603" s="16" t="s">
        <v>3745</v>
      </c>
      <c r="K603" s="16" t="s">
        <v>48</v>
      </c>
      <c r="L603" s="16" t="s">
        <v>15</v>
      </c>
      <c r="M603" s="16" t="s">
        <v>3746</v>
      </c>
      <c r="N603" s="16"/>
      <c r="O603" s="16"/>
    </row>
    <row r="604" spans="1:15" x14ac:dyDescent="0.3">
      <c r="A604" s="16">
        <v>603</v>
      </c>
      <c r="B604" s="16" t="s">
        <v>1641</v>
      </c>
      <c r="C604" s="16" t="str">
        <f>"V3615733078001"</f>
        <v>V3615733078001</v>
      </c>
      <c r="D604" s="16" t="s">
        <v>3747</v>
      </c>
      <c r="E604" s="16" t="s">
        <v>3743</v>
      </c>
      <c r="F604" s="22" t="s">
        <v>3744</v>
      </c>
      <c r="G604" s="16" t="s">
        <v>1645</v>
      </c>
      <c r="H604" s="16" t="s">
        <v>13</v>
      </c>
      <c r="I604" s="16">
        <v>2013</v>
      </c>
      <c r="J604" s="16" t="s">
        <v>3748</v>
      </c>
      <c r="K604" s="16" t="s">
        <v>48</v>
      </c>
      <c r="L604" s="16" t="s">
        <v>15</v>
      </c>
      <c r="M604" s="16" t="s">
        <v>3749</v>
      </c>
      <c r="N604" s="16"/>
      <c r="O604" s="16"/>
    </row>
    <row r="605" spans="1:15" x14ac:dyDescent="0.3">
      <c r="A605" s="16">
        <v>604</v>
      </c>
      <c r="B605" s="16" t="s">
        <v>1641</v>
      </c>
      <c r="C605" s="16" t="str">
        <f>"V3615733079001"</f>
        <v>V3615733079001</v>
      </c>
      <c r="D605" s="16" t="s">
        <v>3750</v>
      </c>
      <c r="E605" s="16" t="s">
        <v>3743</v>
      </c>
      <c r="F605" s="22" t="s">
        <v>3744</v>
      </c>
      <c r="G605" s="16" t="s">
        <v>1645</v>
      </c>
      <c r="H605" s="16" t="s">
        <v>13</v>
      </c>
      <c r="I605" s="16">
        <v>2013</v>
      </c>
      <c r="J605" s="16" t="s">
        <v>3751</v>
      </c>
      <c r="K605" s="16" t="s">
        <v>48</v>
      </c>
      <c r="L605" s="16" t="s">
        <v>15</v>
      </c>
      <c r="M605" s="16" t="s">
        <v>3752</v>
      </c>
      <c r="N605" s="16"/>
      <c r="O605" s="16"/>
    </row>
    <row r="606" spans="1:15" x14ac:dyDescent="0.3">
      <c r="A606" s="16">
        <v>605</v>
      </c>
      <c r="B606" s="16" t="s">
        <v>1641</v>
      </c>
      <c r="C606" s="16" t="str">
        <f>"V3615733080001"</f>
        <v>V3615733080001</v>
      </c>
      <c r="D606" s="16" t="s">
        <v>3753</v>
      </c>
      <c r="E606" s="16" t="s">
        <v>3743</v>
      </c>
      <c r="F606" s="22" t="s">
        <v>3744</v>
      </c>
      <c r="G606" s="16" t="s">
        <v>1645</v>
      </c>
      <c r="H606" s="16" t="s">
        <v>13</v>
      </c>
      <c r="I606" s="16">
        <v>2013</v>
      </c>
      <c r="J606" s="16" t="s">
        <v>3754</v>
      </c>
      <c r="K606" s="16" t="s">
        <v>48</v>
      </c>
      <c r="L606" s="16" t="s">
        <v>15</v>
      </c>
      <c r="M606" s="16" t="s">
        <v>3755</v>
      </c>
      <c r="N606" s="16"/>
      <c r="O606" s="16"/>
    </row>
    <row r="607" spans="1:15" x14ac:dyDescent="0.3">
      <c r="A607" s="16">
        <v>606</v>
      </c>
      <c r="B607" s="16" t="s">
        <v>1641</v>
      </c>
      <c r="C607" s="16" t="str">
        <f>"V3615733081001"</f>
        <v>V3615733081001</v>
      </c>
      <c r="D607" s="16" t="s">
        <v>3756</v>
      </c>
      <c r="E607" s="16" t="s">
        <v>3743</v>
      </c>
      <c r="F607" s="22" t="s">
        <v>3744</v>
      </c>
      <c r="G607" s="16" t="s">
        <v>1645</v>
      </c>
      <c r="H607" s="16" t="s">
        <v>13</v>
      </c>
      <c r="I607" s="16">
        <v>2013</v>
      </c>
      <c r="J607" s="16" t="s">
        <v>3757</v>
      </c>
      <c r="K607" s="16" t="s">
        <v>48</v>
      </c>
      <c r="L607" s="16" t="s">
        <v>15</v>
      </c>
      <c r="M607" s="16" t="s">
        <v>3758</v>
      </c>
      <c r="N607" s="16"/>
      <c r="O607" s="16"/>
    </row>
    <row r="608" spans="1:15" x14ac:dyDescent="0.3">
      <c r="A608" s="16">
        <v>607</v>
      </c>
      <c r="B608" s="16" t="s">
        <v>1641</v>
      </c>
      <c r="C608" s="16" t="str">
        <f>"V3615733082001"</f>
        <v>V3615733082001</v>
      </c>
      <c r="D608" s="16" t="s">
        <v>3759</v>
      </c>
      <c r="E608" s="16" t="s">
        <v>3743</v>
      </c>
      <c r="F608" s="22" t="s">
        <v>3744</v>
      </c>
      <c r="G608" s="16" t="s">
        <v>1645</v>
      </c>
      <c r="H608" s="16" t="s">
        <v>13</v>
      </c>
      <c r="I608" s="16">
        <v>2013</v>
      </c>
      <c r="J608" s="16" t="s">
        <v>3760</v>
      </c>
      <c r="K608" s="16" t="s">
        <v>1647</v>
      </c>
      <c r="L608" s="16" t="s">
        <v>15</v>
      </c>
      <c r="M608" s="16" t="s">
        <v>3761</v>
      </c>
      <c r="N608" s="16"/>
      <c r="O608" s="16"/>
    </row>
    <row r="609" spans="1:15" x14ac:dyDescent="0.3">
      <c r="A609" s="16">
        <v>608</v>
      </c>
      <c r="B609" s="16" t="s">
        <v>1641</v>
      </c>
      <c r="C609" s="16" t="str">
        <f>"V3615733083001"</f>
        <v>V3615733083001</v>
      </c>
      <c r="D609" s="16" t="s">
        <v>3762</v>
      </c>
      <c r="E609" s="16" t="s">
        <v>3743</v>
      </c>
      <c r="F609" s="22" t="s">
        <v>3744</v>
      </c>
      <c r="G609" s="16" t="s">
        <v>1645</v>
      </c>
      <c r="H609" s="16" t="s">
        <v>13</v>
      </c>
      <c r="I609" s="16">
        <v>2013</v>
      </c>
      <c r="J609" s="16" t="s">
        <v>3763</v>
      </c>
      <c r="K609" s="16" t="s">
        <v>3764</v>
      </c>
      <c r="L609" s="16" t="s">
        <v>15</v>
      </c>
      <c r="M609" s="16" t="s">
        <v>3765</v>
      </c>
      <c r="N609" s="16"/>
      <c r="O609" s="16"/>
    </row>
    <row r="610" spans="1:15" x14ac:dyDescent="0.3">
      <c r="A610" s="16">
        <v>609</v>
      </c>
      <c r="B610" s="16" t="s">
        <v>1641</v>
      </c>
      <c r="C610" s="16" t="str">
        <f>"V3615733084001"</f>
        <v>V3615733084001</v>
      </c>
      <c r="D610" s="16" t="s">
        <v>3766</v>
      </c>
      <c r="E610" s="16" t="s">
        <v>3743</v>
      </c>
      <c r="F610" s="22" t="s">
        <v>3744</v>
      </c>
      <c r="G610" s="16" t="s">
        <v>1645</v>
      </c>
      <c r="H610" s="16" t="s">
        <v>13</v>
      </c>
      <c r="I610" s="16">
        <v>2013</v>
      </c>
      <c r="J610" s="16" t="s">
        <v>3767</v>
      </c>
      <c r="K610" s="16" t="s">
        <v>3768</v>
      </c>
      <c r="L610" s="16" t="s">
        <v>15</v>
      </c>
      <c r="M610" s="16" t="s">
        <v>3769</v>
      </c>
      <c r="N610" s="16"/>
      <c r="O610" s="16"/>
    </row>
    <row r="611" spans="1:15" x14ac:dyDescent="0.3">
      <c r="A611" s="16">
        <v>610</v>
      </c>
      <c r="B611" s="16" t="s">
        <v>1641</v>
      </c>
      <c r="C611" s="16" t="str">
        <f>"V3615733085001"</f>
        <v>V3615733085001</v>
      </c>
      <c r="D611" s="16" t="s">
        <v>3770</v>
      </c>
      <c r="E611" s="16" t="s">
        <v>3743</v>
      </c>
      <c r="F611" s="22" t="s">
        <v>3744</v>
      </c>
      <c r="G611" s="16" t="s">
        <v>1645</v>
      </c>
      <c r="H611" s="16" t="s">
        <v>13</v>
      </c>
      <c r="I611" s="16">
        <v>2013</v>
      </c>
      <c r="J611" s="16" t="s">
        <v>3771</v>
      </c>
      <c r="K611" s="16" t="s">
        <v>3772</v>
      </c>
      <c r="L611" s="16" t="s">
        <v>15</v>
      </c>
      <c r="M611" s="16" t="s">
        <v>3773</v>
      </c>
      <c r="N611" s="16"/>
      <c r="O611" s="16"/>
    </row>
    <row r="612" spans="1:15" x14ac:dyDescent="0.3">
      <c r="A612" s="16">
        <v>611</v>
      </c>
      <c r="B612" s="16" t="s">
        <v>1641</v>
      </c>
      <c r="C612" s="16" t="str">
        <f>"V3615733086001"</f>
        <v>V3615733086001</v>
      </c>
      <c r="D612" s="16" t="s">
        <v>3774</v>
      </c>
      <c r="E612" s="16" t="s">
        <v>3743</v>
      </c>
      <c r="F612" s="22" t="s">
        <v>3744</v>
      </c>
      <c r="G612" s="16" t="s">
        <v>1645</v>
      </c>
      <c r="H612" s="16" t="s">
        <v>13</v>
      </c>
      <c r="I612" s="16">
        <v>2013</v>
      </c>
      <c r="J612" s="16" t="s">
        <v>3775</v>
      </c>
      <c r="K612" s="16" t="s">
        <v>3772</v>
      </c>
      <c r="L612" s="16" t="s">
        <v>15</v>
      </c>
      <c r="M612" s="16" t="s">
        <v>3776</v>
      </c>
      <c r="N612" s="16"/>
      <c r="O612" s="16"/>
    </row>
    <row r="613" spans="1:15" x14ac:dyDescent="0.3">
      <c r="A613" s="16">
        <v>612</v>
      </c>
      <c r="B613" s="16" t="s">
        <v>1641</v>
      </c>
      <c r="C613" s="16" t="str">
        <f>"V3615733087001"</f>
        <v>V3615733087001</v>
      </c>
      <c r="D613" s="16" t="s">
        <v>3777</v>
      </c>
      <c r="E613" s="16" t="s">
        <v>3743</v>
      </c>
      <c r="F613" s="22" t="s">
        <v>3744</v>
      </c>
      <c r="G613" s="16" t="s">
        <v>1645</v>
      </c>
      <c r="H613" s="16" t="s">
        <v>13</v>
      </c>
      <c r="I613" s="16">
        <v>2013</v>
      </c>
      <c r="J613" s="16" t="s">
        <v>3778</v>
      </c>
      <c r="K613" s="16" t="s">
        <v>3772</v>
      </c>
      <c r="L613" s="16" t="s">
        <v>15</v>
      </c>
      <c r="M613" s="16" t="s">
        <v>3779</v>
      </c>
      <c r="N613" s="16"/>
      <c r="O613" s="16"/>
    </row>
    <row r="614" spans="1:15" x14ac:dyDescent="0.3">
      <c r="A614" s="16">
        <v>613</v>
      </c>
      <c r="B614" s="16" t="s">
        <v>1641</v>
      </c>
      <c r="C614" s="16" t="str">
        <f>"V3615733088001"</f>
        <v>V3615733088001</v>
      </c>
      <c r="D614" s="16" t="s">
        <v>3780</v>
      </c>
      <c r="E614" s="16" t="s">
        <v>3743</v>
      </c>
      <c r="F614" s="22" t="s">
        <v>3744</v>
      </c>
      <c r="G614" s="16" t="s">
        <v>1645</v>
      </c>
      <c r="H614" s="16" t="s">
        <v>13</v>
      </c>
      <c r="I614" s="16">
        <v>2013</v>
      </c>
      <c r="J614" s="16" t="s">
        <v>3781</v>
      </c>
      <c r="K614" s="16" t="s">
        <v>3772</v>
      </c>
      <c r="L614" s="16" t="s">
        <v>15</v>
      </c>
      <c r="M614" s="16" t="s">
        <v>3782</v>
      </c>
      <c r="N614" s="16"/>
      <c r="O614" s="16"/>
    </row>
    <row r="615" spans="1:15" x14ac:dyDescent="0.3">
      <c r="A615" s="16">
        <v>614</v>
      </c>
      <c r="B615" s="16" t="s">
        <v>1641</v>
      </c>
      <c r="C615" s="16" t="str">
        <f>"V3615733089001"</f>
        <v>V3615733089001</v>
      </c>
      <c r="D615" s="16" t="s">
        <v>3783</v>
      </c>
      <c r="E615" s="16" t="s">
        <v>3743</v>
      </c>
      <c r="F615" s="22" t="s">
        <v>3744</v>
      </c>
      <c r="G615" s="16" t="s">
        <v>1645</v>
      </c>
      <c r="H615" s="16" t="s">
        <v>13</v>
      </c>
      <c r="I615" s="16">
        <v>2013</v>
      </c>
      <c r="J615" s="16" t="s">
        <v>3784</v>
      </c>
      <c r="K615" s="16" t="s">
        <v>48</v>
      </c>
      <c r="L615" s="16" t="s">
        <v>15</v>
      </c>
      <c r="M615" s="16" t="s">
        <v>3785</v>
      </c>
      <c r="N615" s="16"/>
      <c r="O615" s="16"/>
    </row>
    <row r="616" spans="1:15" x14ac:dyDescent="0.3">
      <c r="A616" s="16">
        <v>615</v>
      </c>
      <c r="B616" s="16" t="s">
        <v>1641</v>
      </c>
      <c r="C616" s="16" t="str">
        <f>"V3615733090001"</f>
        <v>V3615733090001</v>
      </c>
      <c r="D616" s="16" t="s">
        <v>3786</v>
      </c>
      <c r="E616" s="16" t="s">
        <v>3743</v>
      </c>
      <c r="F616" s="22" t="s">
        <v>3744</v>
      </c>
      <c r="G616" s="16" t="s">
        <v>1645</v>
      </c>
      <c r="H616" s="16" t="s">
        <v>13</v>
      </c>
      <c r="I616" s="16">
        <v>2013</v>
      </c>
      <c r="J616" s="16" t="s">
        <v>3787</v>
      </c>
      <c r="K616" s="16" t="s">
        <v>1647</v>
      </c>
      <c r="L616" s="16" t="s">
        <v>15</v>
      </c>
      <c r="M616" s="16" t="s">
        <v>3788</v>
      </c>
      <c r="N616" s="16"/>
      <c r="O616" s="16"/>
    </row>
    <row r="617" spans="1:15" x14ac:dyDescent="0.3">
      <c r="A617" s="16">
        <v>616</v>
      </c>
      <c r="B617" s="16" t="s">
        <v>1641</v>
      </c>
      <c r="C617" s="16" t="str">
        <f>"V3615733091001"</f>
        <v>V3615733091001</v>
      </c>
      <c r="D617" s="16" t="s">
        <v>3789</v>
      </c>
      <c r="E617" s="16" t="s">
        <v>3743</v>
      </c>
      <c r="F617" s="22" t="s">
        <v>3744</v>
      </c>
      <c r="G617" s="16" t="s">
        <v>1645</v>
      </c>
      <c r="H617" s="16" t="s">
        <v>13</v>
      </c>
      <c r="I617" s="16">
        <v>2013</v>
      </c>
      <c r="J617" s="16" t="s">
        <v>3790</v>
      </c>
      <c r="K617" s="16" t="s">
        <v>3791</v>
      </c>
      <c r="L617" s="16" t="s">
        <v>15</v>
      </c>
      <c r="M617" s="16" t="s">
        <v>3792</v>
      </c>
      <c r="N617" s="16"/>
      <c r="O617" s="16"/>
    </row>
    <row r="618" spans="1:15" x14ac:dyDescent="0.3">
      <c r="A618" s="16">
        <v>617</v>
      </c>
      <c r="B618" s="16" t="s">
        <v>1641</v>
      </c>
      <c r="C618" s="16" t="str">
        <f>"V3615733092001"</f>
        <v>V3615733092001</v>
      </c>
      <c r="D618" s="16" t="s">
        <v>3793</v>
      </c>
      <c r="E618" s="16" t="s">
        <v>3743</v>
      </c>
      <c r="F618" s="22" t="s">
        <v>3744</v>
      </c>
      <c r="G618" s="16" t="s">
        <v>1645</v>
      </c>
      <c r="H618" s="16" t="s">
        <v>13</v>
      </c>
      <c r="I618" s="16">
        <v>2013</v>
      </c>
      <c r="J618" s="16" t="s">
        <v>3794</v>
      </c>
      <c r="K618" s="16" t="s">
        <v>3772</v>
      </c>
      <c r="L618" s="16" t="s">
        <v>15</v>
      </c>
      <c r="M618" s="16" t="s">
        <v>3795</v>
      </c>
      <c r="N618" s="16"/>
      <c r="O618" s="16"/>
    </row>
    <row r="619" spans="1:15" x14ac:dyDescent="0.3">
      <c r="A619" s="16">
        <v>618</v>
      </c>
      <c r="B619" s="16" t="s">
        <v>1641</v>
      </c>
      <c r="C619" s="16" t="str">
        <f>"V3615733093001"</f>
        <v>V3615733093001</v>
      </c>
      <c r="D619" s="16" t="s">
        <v>3796</v>
      </c>
      <c r="E619" s="16" t="s">
        <v>3743</v>
      </c>
      <c r="F619" s="22" t="s">
        <v>3744</v>
      </c>
      <c r="G619" s="16" t="s">
        <v>1645</v>
      </c>
      <c r="H619" s="16" t="s">
        <v>13</v>
      </c>
      <c r="I619" s="16">
        <v>2013</v>
      </c>
      <c r="J619" s="16" t="s">
        <v>3797</v>
      </c>
      <c r="K619" s="16" t="s">
        <v>3798</v>
      </c>
      <c r="L619" s="16" t="s">
        <v>15</v>
      </c>
      <c r="M619" s="16" t="s">
        <v>3799</v>
      </c>
      <c r="N619" s="16"/>
      <c r="O619" s="16"/>
    </row>
    <row r="620" spans="1:15" x14ac:dyDescent="0.3">
      <c r="A620" s="16">
        <v>619</v>
      </c>
      <c r="B620" s="16" t="s">
        <v>1641</v>
      </c>
      <c r="C620" s="16" t="str">
        <f>"V3615733094001"</f>
        <v>V3615733094001</v>
      </c>
      <c r="D620" s="16" t="s">
        <v>3800</v>
      </c>
      <c r="E620" s="16" t="s">
        <v>3743</v>
      </c>
      <c r="F620" s="22" t="s">
        <v>3744</v>
      </c>
      <c r="G620" s="16" t="s">
        <v>1645</v>
      </c>
      <c r="H620" s="16" t="s">
        <v>13</v>
      </c>
      <c r="I620" s="16">
        <v>2013</v>
      </c>
      <c r="J620" s="16" t="s">
        <v>3801</v>
      </c>
      <c r="K620" s="16" t="s">
        <v>2086</v>
      </c>
      <c r="L620" s="16" t="s">
        <v>15</v>
      </c>
      <c r="M620" s="16" t="s">
        <v>3802</v>
      </c>
      <c r="N620" s="16"/>
      <c r="O620" s="16"/>
    </row>
    <row r="621" spans="1:15" x14ac:dyDescent="0.3">
      <c r="A621" s="16">
        <v>620</v>
      </c>
      <c r="B621" s="16" t="s">
        <v>1641</v>
      </c>
      <c r="C621" s="16" t="str">
        <f>"V3615733095001"</f>
        <v>V3615733095001</v>
      </c>
      <c r="D621" s="16" t="s">
        <v>3803</v>
      </c>
      <c r="E621" s="16" t="s">
        <v>3743</v>
      </c>
      <c r="F621" s="22" t="s">
        <v>3744</v>
      </c>
      <c r="G621" s="16" t="s">
        <v>1645</v>
      </c>
      <c r="H621" s="16" t="s">
        <v>13</v>
      </c>
      <c r="I621" s="16">
        <v>2013</v>
      </c>
      <c r="J621" s="16" t="s">
        <v>3804</v>
      </c>
      <c r="K621" s="16" t="s">
        <v>48</v>
      </c>
      <c r="L621" s="16" t="s">
        <v>15</v>
      </c>
      <c r="M621" s="16" t="s">
        <v>3805</v>
      </c>
      <c r="N621" s="16"/>
      <c r="O621" s="16"/>
    </row>
    <row r="622" spans="1:15" x14ac:dyDescent="0.3">
      <c r="A622" s="16">
        <v>621</v>
      </c>
      <c r="B622" s="16" t="s">
        <v>1641</v>
      </c>
      <c r="C622" s="16" t="str">
        <f>"V3615733096001"</f>
        <v>V3615733096001</v>
      </c>
      <c r="D622" s="16" t="s">
        <v>3806</v>
      </c>
      <c r="E622" s="16" t="s">
        <v>3743</v>
      </c>
      <c r="F622" s="22" t="s">
        <v>3744</v>
      </c>
      <c r="G622" s="16" t="s">
        <v>1645</v>
      </c>
      <c r="H622" s="16" t="s">
        <v>13</v>
      </c>
      <c r="I622" s="16">
        <v>2013</v>
      </c>
      <c r="J622" s="16" t="s">
        <v>3807</v>
      </c>
      <c r="K622" s="16" t="s">
        <v>48</v>
      </c>
      <c r="L622" s="16" t="s">
        <v>15</v>
      </c>
      <c r="M622" s="16" t="s">
        <v>3808</v>
      </c>
      <c r="N622" s="16"/>
      <c r="O622" s="16"/>
    </row>
    <row r="623" spans="1:15" x14ac:dyDescent="0.3">
      <c r="A623" s="16">
        <v>622</v>
      </c>
      <c r="B623" s="16" t="s">
        <v>1641</v>
      </c>
      <c r="C623" s="16" t="str">
        <f>"V3615833503001"</f>
        <v>V3615833503001</v>
      </c>
      <c r="D623" s="16" t="s">
        <v>3809</v>
      </c>
      <c r="E623" s="16" t="s">
        <v>3810</v>
      </c>
      <c r="F623" s="22" t="s">
        <v>3811</v>
      </c>
      <c r="G623" s="16" t="s">
        <v>333</v>
      </c>
      <c r="H623" s="16" t="s">
        <v>13</v>
      </c>
      <c r="I623" s="16">
        <v>2014</v>
      </c>
      <c r="J623" s="16" t="s">
        <v>3812</v>
      </c>
      <c r="K623" s="16" t="s">
        <v>359</v>
      </c>
      <c r="L623" s="16" t="s">
        <v>15</v>
      </c>
      <c r="M623" s="16" t="s">
        <v>3813</v>
      </c>
      <c r="N623" s="16"/>
      <c r="O623" s="16"/>
    </row>
    <row r="624" spans="1:15" x14ac:dyDescent="0.3">
      <c r="A624" s="16">
        <v>623</v>
      </c>
      <c r="B624" s="16" t="s">
        <v>1641</v>
      </c>
      <c r="C624" s="16" t="str">
        <f>"V3615833504001"</f>
        <v>V3615833504001</v>
      </c>
      <c r="D624" s="16" t="s">
        <v>3814</v>
      </c>
      <c r="E624" s="16" t="s">
        <v>3810</v>
      </c>
      <c r="F624" s="22" t="s">
        <v>3811</v>
      </c>
      <c r="G624" s="16" t="s">
        <v>333</v>
      </c>
      <c r="H624" s="16" t="s">
        <v>13</v>
      </c>
      <c r="I624" s="16">
        <v>2014</v>
      </c>
      <c r="J624" s="16" t="s">
        <v>3815</v>
      </c>
      <c r="K624" s="16" t="s">
        <v>649</v>
      </c>
      <c r="L624" s="16" t="s">
        <v>15</v>
      </c>
      <c r="M624" s="16" t="s">
        <v>3816</v>
      </c>
      <c r="N624" s="16"/>
      <c r="O624" s="16"/>
    </row>
    <row r="625" spans="1:15" x14ac:dyDescent="0.3">
      <c r="A625" s="16">
        <v>624</v>
      </c>
      <c r="B625" s="16" t="s">
        <v>1641</v>
      </c>
      <c r="C625" s="16" t="str">
        <f>"V3615833505001"</f>
        <v>V3615833505001</v>
      </c>
      <c r="D625" s="16" t="s">
        <v>3817</v>
      </c>
      <c r="E625" s="16" t="s">
        <v>3810</v>
      </c>
      <c r="F625" s="22" t="s">
        <v>3811</v>
      </c>
      <c r="G625" s="16" t="s">
        <v>333</v>
      </c>
      <c r="H625" s="16" t="s">
        <v>13</v>
      </c>
      <c r="I625" s="16">
        <v>2014</v>
      </c>
      <c r="J625" s="16" t="s">
        <v>3818</v>
      </c>
      <c r="K625" s="16" t="s">
        <v>3819</v>
      </c>
      <c r="L625" s="16" t="s">
        <v>15</v>
      </c>
      <c r="M625" s="16" t="s">
        <v>3820</v>
      </c>
      <c r="N625" s="16"/>
      <c r="O625" s="16"/>
    </row>
    <row r="626" spans="1:15" x14ac:dyDescent="0.3">
      <c r="A626" s="16">
        <v>625</v>
      </c>
      <c r="B626" s="16" t="s">
        <v>1641</v>
      </c>
      <c r="C626" s="16" t="str">
        <f>"V3615833506001"</f>
        <v>V3615833506001</v>
      </c>
      <c r="D626" s="16" t="s">
        <v>3821</v>
      </c>
      <c r="E626" s="16" t="s">
        <v>3810</v>
      </c>
      <c r="F626" s="22" t="s">
        <v>3811</v>
      </c>
      <c r="G626" s="16" t="s">
        <v>333</v>
      </c>
      <c r="H626" s="16" t="s">
        <v>13</v>
      </c>
      <c r="I626" s="16">
        <v>2014</v>
      </c>
      <c r="J626" s="16" t="s">
        <v>3822</v>
      </c>
      <c r="K626" s="16" t="s">
        <v>3823</v>
      </c>
      <c r="L626" s="16" t="s">
        <v>15</v>
      </c>
      <c r="M626" s="16" t="s">
        <v>3824</v>
      </c>
      <c r="N626" s="16"/>
      <c r="O626" s="16"/>
    </row>
    <row r="627" spans="1:15" x14ac:dyDescent="0.3">
      <c r="A627" s="16">
        <v>626</v>
      </c>
      <c r="B627" s="16" t="s">
        <v>1641</v>
      </c>
      <c r="C627" s="16" t="str">
        <f>"V3615833507001"</f>
        <v>V3615833507001</v>
      </c>
      <c r="D627" s="16" t="s">
        <v>3825</v>
      </c>
      <c r="E627" s="16" t="s">
        <v>3810</v>
      </c>
      <c r="F627" s="22" t="s">
        <v>3811</v>
      </c>
      <c r="G627" s="16" t="s">
        <v>333</v>
      </c>
      <c r="H627" s="16" t="s">
        <v>13</v>
      </c>
      <c r="I627" s="16">
        <v>2014</v>
      </c>
      <c r="J627" s="16" t="s">
        <v>3826</v>
      </c>
      <c r="K627" s="16" t="s">
        <v>3823</v>
      </c>
      <c r="L627" s="16" t="s">
        <v>15</v>
      </c>
      <c r="M627" s="16" t="s">
        <v>3827</v>
      </c>
      <c r="N627" s="16"/>
      <c r="O627" s="16"/>
    </row>
    <row r="628" spans="1:15" x14ac:dyDescent="0.3">
      <c r="A628" s="16">
        <v>627</v>
      </c>
      <c r="B628" s="16" t="s">
        <v>1641</v>
      </c>
      <c r="C628" s="16" t="str">
        <f>"V3615833508001"</f>
        <v>V3615833508001</v>
      </c>
      <c r="D628" s="16" t="s">
        <v>3828</v>
      </c>
      <c r="E628" s="16" t="s">
        <v>3810</v>
      </c>
      <c r="F628" s="22" t="s">
        <v>3811</v>
      </c>
      <c r="G628" s="16" t="s">
        <v>333</v>
      </c>
      <c r="H628" s="16" t="s">
        <v>13</v>
      </c>
      <c r="I628" s="16">
        <v>2014</v>
      </c>
      <c r="J628" s="16" t="s">
        <v>3829</v>
      </c>
      <c r="K628" s="16" t="s">
        <v>1539</v>
      </c>
      <c r="L628" s="16" t="s">
        <v>15</v>
      </c>
      <c r="M628" s="16" t="s">
        <v>3830</v>
      </c>
      <c r="N628" s="16"/>
      <c r="O628" s="16"/>
    </row>
    <row r="629" spans="1:15" x14ac:dyDescent="0.3">
      <c r="A629" s="16">
        <v>628</v>
      </c>
      <c r="B629" s="16" t="s">
        <v>1641</v>
      </c>
      <c r="C629" s="16" t="str">
        <f>"V3615833509001"</f>
        <v>V3615833509001</v>
      </c>
      <c r="D629" s="16" t="s">
        <v>3831</v>
      </c>
      <c r="E629" s="16" t="s">
        <v>3810</v>
      </c>
      <c r="F629" s="22" t="s">
        <v>3811</v>
      </c>
      <c r="G629" s="16" t="s">
        <v>333</v>
      </c>
      <c r="H629" s="16" t="s">
        <v>13</v>
      </c>
      <c r="I629" s="16">
        <v>2014</v>
      </c>
      <c r="J629" s="16" t="s">
        <v>3832</v>
      </c>
      <c r="K629" s="16" t="s">
        <v>3833</v>
      </c>
      <c r="L629" s="16" t="s">
        <v>15</v>
      </c>
      <c r="M629" s="16" t="s">
        <v>3834</v>
      </c>
      <c r="N629" s="16"/>
      <c r="O629" s="16"/>
    </row>
    <row r="630" spans="1:15" x14ac:dyDescent="0.3">
      <c r="A630" s="16">
        <v>629</v>
      </c>
      <c r="B630" s="16" t="s">
        <v>1641</v>
      </c>
      <c r="C630" s="16" t="str">
        <f>"V3615833510001"</f>
        <v>V3615833510001</v>
      </c>
      <c r="D630" s="16" t="s">
        <v>3835</v>
      </c>
      <c r="E630" s="16" t="s">
        <v>3810</v>
      </c>
      <c r="F630" s="22" t="s">
        <v>3811</v>
      </c>
      <c r="G630" s="16" t="s">
        <v>333</v>
      </c>
      <c r="H630" s="16" t="s">
        <v>13</v>
      </c>
      <c r="I630" s="16">
        <v>2014</v>
      </c>
      <c r="J630" s="16" t="s">
        <v>3836</v>
      </c>
      <c r="K630" s="16" t="s">
        <v>3823</v>
      </c>
      <c r="L630" s="16" t="s">
        <v>15</v>
      </c>
      <c r="M630" s="16" t="s">
        <v>3837</v>
      </c>
      <c r="N630" s="16"/>
      <c r="O630" s="16"/>
    </row>
    <row r="631" spans="1:15" x14ac:dyDescent="0.3">
      <c r="A631" s="16">
        <v>630</v>
      </c>
      <c r="B631" s="16" t="s">
        <v>1641</v>
      </c>
      <c r="C631" s="16" t="str">
        <f>"V3615833511001"</f>
        <v>V3615833511001</v>
      </c>
      <c r="D631" s="16" t="s">
        <v>3838</v>
      </c>
      <c r="E631" s="16" t="s">
        <v>3810</v>
      </c>
      <c r="F631" s="22" t="s">
        <v>3811</v>
      </c>
      <c r="G631" s="16" t="s">
        <v>333</v>
      </c>
      <c r="H631" s="16" t="s">
        <v>13</v>
      </c>
      <c r="I631" s="16">
        <v>2014</v>
      </c>
      <c r="J631" s="16" t="s">
        <v>3839</v>
      </c>
      <c r="K631" s="16" t="s">
        <v>3840</v>
      </c>
      <c r="L631" s="16" t="s">
        <v>15</v>
      </c>
      <c r="M631" s="16" t="s">
        <v>3841</v>
      </c>
      <c r="N631" s="16"/>
      <c r="O631" s="16"/>
    </row>
    <row r="632" spans="1:15" x14ac:dyDescent="0.3">
      <c r="A632" s="16">
        <v>631</v>
      </c>
      <c r="B632" s="16" t="s">
        <v>1641</v>
      </c>
      <c r="C632" s="16" t="str">
        <f>"V3615833512001"</f>
        <v>V3615833512001</v>
      </c>
      <c r="D632" s="16" t="s">
        <v>3842</v>
      </c>
      <c r="E632" s="16" t="s">
        <v>3810</v>
      </c>
      <c r="F632" s="22" t="s">
        <v>3811</v>
      </c>
      <c r="G632" s="16" t="s">
        <v>333</v>
      </c>
      <c r="H632" s="16" t="s">
        <v>13</v>
      </c>
      <c r="I632" s="16">
        <v>2014</v>
      </c>
      <c r="J632" s="16" t="s">
        <v>3843</v>
      </c>
      <c r="K632" s="16" t="s">
        <v>3823</v>
      </c>
      <c r="L632" s="16" t="s">
        <v>15</v>
      </c>
      <c r="M632" s="16" t="s">
        <v>3844</v>
      </c>
      <c r="N632" s="16"/>
      <c r="O632" s="16"/>
    </row>
    <row r="633" spans="1:15" x14ac:dyDescent="0.3">
      <c r="A633" s="16">
        <v>632</v>
      </c>
      <c r="B633" s="16" t="s">
        <v>1641</v>
      </c>
      <c r="C633" s="16" t="str">
        <f>"V3615833513001"</f>
        <v>V3615833513001</v>
      </c>
      <c r="D633" s="16" t="s">
        <v>3845</v>
      </c>
      <c r="E633" s="16" t="s">
        <v>3810</v>
      </c>
      <c r="F633" s="22" t="s">
        <v>3811</v>
      </c>
      <c r="G633" s="16" t="s">
        <v>333</v>
      </c>
      <c r="H633" s="16" t="s">
        <v>13</v>
      </c>
      <c r="I633" s="16">
        <v>2014</v>
      </c>
      <c r="J633" s="16" t="s">
        <v>3846</v>
      </c>
      <c r="K633" s="16" t="s">
        <v>3823</v>
      </c>
      <c r="L633" s="16" t="s">
        <v>15</v>
      </c>
      <c r="M633" s="16" t="s">
        <v>3847</v>
      </c>
      <c r="N633" s="16"/>
      <c r="O633" s="16"/>
    </row>
    <row r="634" spans="1:15" x14ac:dyDescent="0.3">
      <c r="A634" s="16">
        <v>633</v>
      </c>
      <c r="B634" s="16" t="s">
        <v>1641</v>
      </c>
      <c r="C634" s="16" t="str">
        <f>"V3615833514001"</f>
        <v>V3615833514001</v>
      </c>
      <c r="D634" s="16" t="s">
        <v>3848</v>
      </c>
      <c r="E634" s="16" t="s">
        <v>3810</v>
      </c>
      <c r="F634" s="22" t="s">
        <v>3811</v>
      </c>
      <c r="G634" s="16" t="s">
        <v>333</v>
      </c>
      <c r="H634" s="16" t="s">
        <v>13</v>
      </c>
      <c r="I634" s="16">
        <v>2014</v>
      </c>
      <c r="J634" s="16" t="s">
        <v>3849</v>
      </c>
      <c r="K634" s="16" t="s">
        <v>3850</v>
      </c>
      <c r="L634" s="16" t="s">
        <v>15</v>
      </c>
      <c r="M634" s="16" t="s">
        <v>3851</v>
      </c>
      <c r="N634" s="16"/>
      <c r="O634" s="16"/>
    </row>
    <row r="635" spans="1:15" x14ac:dyDescent="0.3">
      <c r="A635" s="16">
        <v>634</v>
      </c>
      <c r="B635" s="16" t="s">
        <v>1641</v>
      </c>
      <c r="C635" s="16" t="str">
        <f>"V3615833515001"</f>
        <v>V3615833515001</v>
      </c>
      <c r="D635" s="16" t="s">
        <v>3852</v>
      </c>
      <c r="E635" s="16" t="s">
        <v>3810</v>
      </c>
      <c r="F635" s="22" t="s">
        <v>3811</v>
      </c>
      <c r="G635" s="16" t="s">
        <v>333</v>
      </c>
      <c r="H635" s="16" t="s">
        <v>13</v>
      </c>
      <c r="I635" s="16">
        <v>2014</v>
      </c>
      <c r="J635" s="16" t="s">
        <v>3853</v>
      </c>
      <c r="K635" s="16" t="s">
        <v>3823</v>
      </c>
      <c r="L635" s="16" t="s">
        <v>15</v>
      </c>
      <c r="M635" s="16" t="s">
        <v>3854</v>
      </c>
      <c r="N635" s="16"/>
      <c r="O635" s="16"/>
    </row>
    <row r="636" spans="1:15" x14ac:dyDescent="0.3">
      <c r="A636" s="16">
        <v>635</v>
      </c>
      <c r="B636" s="16" t="s">
        <v>1641</v>
      </c>
      <c r="C636" s="16" t="str">
        <f>"V3615833516001"</f>
        <v>V3615833516001</v>
      </c>
      <c r="D636" s="16" t="s">
        <v>3855</v>
      </c>
      <c r="E636" s="16" t="s">
        <v>3810</v>
      </c>
      <c r="F636" s="22" t="s">
        <v>3811</v>
      </c>
      <c r="G636" s="16" t="s">
        <v>333</v>
      </c>
      <c r="H636" s="16" t="s">
        <v>13</v>
      </c>
      <c r="I636" s="16">
        <v>2014</v>
      </c>
      <c r="J636" s="16" t="s">
        <v>3856</v>
      </c>
      <c r="K636" s="16" t="s">
        <v>649</v>
      </c>
      <c r="L636" s="16" t="s">
        <v>15</v>
      </c>
      <c r="M636" s="16" t="s">
        <v>3857</v>
      </c>
      <c r="N636" s="16"/>
      <c r="O636" s="16"/>
    </row>
    <row r="637" spans="1:15" x14ac:dyDescent="0.3">
      <c r="A637" s="16">
        <v>636</v>
      </c>
      <c r="B637" s="16" t="s">
        <v>1641</v>
      </c>
      <c r="C637" s="16" t="str">
        <f>"V3615833517001"</f>
        <v>V3615833517001</v>
      </c>
      <c r="D637" s="16" t="s">
        <v>3858</v>
      </c>
      <c r="E637" s="16" t="s">
        <v>3810</v>
      </c>
      <c r="F637" s="22" t="s">
        <v>3811</v>
      </c>
      <c r="G637" s="16" t="s">
        <v>333</v>
      </c>
      <c r="H637" s="16" t="s">
        <v>13</v>
      </c>
      <c r="I637" s="16">
        <v>2014</v>
      </c>
      <c r="J637" s="16" t="s">
        <v>3859</v>
      </c>
      <c r="K637" s="16" t="s">
        <v>3860</v>
      </c>
      <c r="L637" s="16" t="s">
        <v>15</v>
      </c>
      <c r="M637" s="16" t="s">
        <v>3861</v>
      </c>
      <c r="N637" s="16"/>
      <c r="O637" s="16"/>
    </row>
    <row r="638" spans="1:15" x14ac:dyDescent="0.3">
      <c r="A638" s="16">
        <v>637</v>
      </c>
      <c r="B638" s="16" t="s">
        <v>1641</v>
      </c>
      <c r="C638" s="16" t="str">
        <f>"V3615833518001"</f>
        <v>V3615833518001</v>
      </c>
      <c r="D638" s="16" t="s">
        <v>3862</v>
      </c>
      <c r="E638" s="16" t="s">
        <v>3810</v>
      </c>
      <c r="F638" s="22" t="s">
        <v>3811</v>
      </c>
      <c r="G638" s="16" t="s">
        <v>333</v>
      </c>
      <c r="H638" s="16" t="s">
        <v>13</v>
      </c>
      <c r="I638" s="16">
        <v>2014</v>
      </c>
      <c r="J638" s="16" t="s">
        <v>3863</v>
      </c>
      <c r="K638" s="16" t="s">
        <v>3864</v>
      </c>
      <c r="L638" s="16" t="s">
        <v>15</v>
      </c>
      <c r="M638" s="16" t="s">
        <v>3865</v>
      </c>
      <c r="N638" s="16"/>
      <c r="O638" s="16"/>
    </row>
    <row r="639" spans="1:15" x14ac:dyDescent="0.3">
      <c r="A639" s="16">
        <v>638</v>
      </c>
      <c r="B639" s="16" t="s">
        <v>1641</v>
      </c>
      <c r="C639" s="16" t="str">
        <f>"V3615833519001"</f>
        <v>V3615833519001</v>
      </c>
      <c r="D639" s="16" t="s">
        <v>3866</v>
      </c>
      <c r="E639" s="16" t="s">
        <v>3810</v>
      </c>
      <c r="F639" s="22" t="s">
        <v>3811</v>
      </c>
      <c r="G639" s="16" t="s">
        <v>333</v>
      </c>
      <c r="H639" s="16" t="s">
        <v>13</v>
      </c>
      <c r="I639" s="16">
        <v>2014</v>
      </c>
      <c r="J639" s="16" t="s">
        <v>3867</v>
      </c>
      <c r="K639" s="16" t="s">
        <v>3868</v>
      </c>
      <c r="L639" s="16" t="s">
        <v>15</v>
      </c>
      <c r="M639" s="16" t="s">
        <v>3869</v>
      </c>
      <c r="N639" s="16"/>
      <c r="O639" s="16"/>
    </row>
    <row r="640" spans="1:15" x14ac:dyDescent="0.3">
      <c r="A640" s="16">
        <v>639</v>
      </c>
      <c r="B640" s="16" t="s">
        <v>1641</v>
      </c>
      <c r="C640" s="16" t="str">
        <f>"V3615833520001"</f>
        <v>V3615833520001</v>
      </c>
      <c r="D640" s="16" t="s">
        <v>3870</v>
      </c>
      <c r="E640" s="16" t="s">
        <v>3810</v>
      </c>
      <c r="F640" s="22" t="s">
        <v>3811</v>
      </c>
      <c r="G640" s="16" t="s">
        <v>333</v>
      </c>
      <c r="H640" s="16" t="s">
        <v>13</v>
      </c>
      <c r="I640" s="16">
        <v>2014</v>
      </c>
      <c r="J640" s="16" t="s">
        <v>3871</v>
      </c>
      <c r="K640" s="16" t="s">
        <v>3823</v>
      </c>
      <c r="L640" s="16" t="s">
        <v>15</v>
      </c>
      <c r="M640" s="16" t="s">
        <v>3872</v>
      </c>
      <c r="N640" s="16"/>
      <c r="O640" s="16"/>
    </row>
    <row r="641" spans="1:15" x14ac:dyDescent="0.3">
      <c r="A641" s="16">
        <v>640</v>
      </c>
      <c r="B641" s="16" t="s">
        <v>1641</v>
      </c>
      <c r="C641" s="16" t="str">
        <f>"V3615833521001"</f>
        <v>V3615833521001</v>
      </c>
      <c r="D641" s="16" t="s">
        <v>3873</v>
      </c>
      <c r="E641" s="16" t="s">
        <v>3810</v>
      </c>
      <c r="F641" s="22" t="s">
        <v>3811</v>
      </c>
      <c r="G641" s="16" t="s">
        <v>333</v>
      </c>
      <c r="H641" s="16" t="s">
        <v>13</v>
      </c>
      <c r="I641" s="16">
        <v>2014</v>
      </c>
      <c r="J641" s="16" t="s">
        <v>3874</v>
      </c>
      <c r="K641" s="16" t="s">
        <v>184</v>
      </c>
      <c r="L641" s="16" t="s">
        <v>15</v>
      </c>
      <c r="M641" s="16" t="s">
        <v>3875</v>
      </c>
      <c r="N641" s="16"/>
      <c r="O641" s="16"/>
    </row>
    <row r="642" spans="1:15" x14ac:dyDescent="0.3">
      <c r="A642" s="16">
        <v>641</v>
      </c>
      <c r="B642" s="16" t="s">
        <v>1641</v>
      </c>
      <c r="C642" s="16" t="str">
        <f>"V3637603932001"</f>
        <v>V3637603932001</v>
      </c>
      <c r="D642" s="16" t="s">
        <v>3876</v>
      </c>
      <c r="E642" s="16" t="s">
        <v>3877</v>
      </c>
      <c r="F642" s="22" t="s">
        <v>3878</v>
      </c>
      <c r="G642" s="16" t="s">
        <v>1645</v>
      </c>
      <c r="H642" s="16" t="s">
        <v>13</v>
      </c>
      <c r="I642" s="16">
        <v>2014</v>
      </c>
      <c r="J642" s="16" t="s">
        <v>423</v>
      </c>
      <c r="K642" s="16" t="s">
        <v>48</v>
      </c>
      <c r="L642" s="16" t="s">
        <v>15</v>
      </c>
      <c r="M642" s="16" t="s">
        <v>3879</v>
      </c>
      <c r="N642" s="16"/>
      <c r="O642" s="16"/>
    </row>
    <row r="643" spans="1:15" x14ac:dyDescent="0.3">
      <c r="A643" s="16">
        <v>642</v>
      </c>
      <c r="B643" s="16" t="s">
        <v>1641</v>
      </c>
      <c r="C643" s="16" t="str">
        <f>"V3637603933001"</f>
        <v>V3637603933001</v>
      </c>
      <c r="D643" s="16" t="s">
        <v>3880</v>
      </c>
      <c r="E643" s="16" t="s">
        <v>3877</v>
      </c>
      <c r="F643" s="22" t="s">
        <v>3878</v>
      </c>
      <c r="G643" s="16" t="s">
        <v>1645</v>
      </c>
      <c r="H643" s="16" t="s">
        <v>13</v>
      </c>
      <c r="I643" s="16">
        <v>2014</v>
      </c>
      <c r="J643" s="16" t="s">
        <v>3881</v>
      </c>
      <c r="K643" s="16" t="s">
        <v>3882</v>
      </c>
      <c r="L643" s="16" t="s">
        <v>15</v>
      </c>
      <c r="M643" s="16" t="s">
        <v>3883</v>
      </c>
      <c r="N643" s="16"/>
      <c r="O643" s="16"/>
    </row>
    <row r="644" spans="1:15" x14ac:dyDescent="0.3">
      <c r="A644" s="16">
        <v>643</v>
      </c>
      <c r="B644" s="16" t="s">
        <v>1641</v>
      </c>
      <c r="C644" s="16" t="str">
        <f>"V3637603934001"</f>
        <v>V3637603934001</v>
      </c>
      <c r="D644" s="16" t="s">
        <v>3884</v>
      </c>
      <c r="E644" s="16" t="s">
        <v>3877</v>
      </c>
      <c r="F644" s="22" t="s">
        <v>3878</v>
      </c>
      <c r="G644" s="16" t="s">
        <v>1645</v>
      </c>
      <c r="H644" s="16" t="s">
        <v>13</v>
      </c>
      <c r="I644" s="16">
        <v>2014</v>
      </c>
      <c r="J644" s="16" t="s">
        <v>3885</v>
      </c>
      <c r="K644" s="16" t="s">
        <v>48</v>
      </c>
      <c r="L644" s="16" t="s">
        <v>15</v>
      </c>
      <c r="M644" s="16" t="s">
        <v>3886</v>
      </c>
      <c r="N644" s="16"/>
      <c r="O644" s="16"/>
    </row>
    <row r="645" spans="1:15" x14ac:dyDescent="0.3">
      <c r="A645" s="16">
        <v>644</v>
      </c>
      <c r="B645" s="16" t="s">
        <v>1641</v>
      </c>
      <c r="C645" s="16" t="str">
        <f>"V3637603935001"</f>
        <v>V3637603935001</v>
      </c>
      <c r="D645" s="16" t="s">
        <v>3887</v>
      </c>
      <c r="E645" s="16" t="s">
        <v>3877</v>
      </c>
      <c r="F645" s="22" t="s">
        <v>3878</v>
      </c>
      <c r="G645" s="16" t="s">
        <v>1645</v>
      </c>
      <c r="H645" s="16" t="s">
        <v>13</v>
      </c>
      <c r="I645" s="16">
        <v>2014</v>
      </c>
      <c r="J645" s="16" t="s">
        <v>3888</v>
      </c>
      <c r="K645" s="16" t="s">
        <v>48</v>
      </c>
      <c r="L645" s="16" t="s">
        <v>15</v>
      </c>
      <c r="M645" s="16" t="s">
        <v>3889</v>
      </c>
      <c r="N645" s="16"/>
      <c r="O645" s="16"/>
    </row>
    <row r="646" spans="1:15" x14ac:dyDescent="0.3">
      <c r="A646" s="16">
        <v>645</v>
      </c>
      <c r="B646" s="16" t="s">
        <v>1641</v>
      </c>
      <c r="C646" s="16" t="str">
        <f>"V3637603936001"</f>
        <v>V3637603936001</v>
      </c>
      <c r="D646" s="16" t="s">
        <v>3890</v>
      </c>
      <c r="E646" s="16" t="s">
        <v>3877</v>
      </c>
      <c r="F646" s="22" t="s">
        <v>3878</v>
      </c>
      <c r="G646" s="16" t="s">
        <v>1645</v>
      </c>
      <c r="H646" s="16" t="s">
        <v>13</v>
      </c>
      <c r="I646" s="16">
        <v>2014</v>
      </c>
      <c r="J646" s="16" t="s">
        <v>3888</v>
      </c>
      <c r="K646" s="16" t="s">
        <v>48</v>
      </c>
      <c r="L646" s="16" t="s">
        <v>15</v>
      </c>
      <c r="M646" s="16" t="s">
        <v>3891</v>
      </c>
      <c r="N646" s="16"/>
      <c r="O646" s="16"/>
    </row>
    <row r="647" spans="1:15" x14ac:dyDescent="0.3">
      <c r="A647" s="16">
        <v>646</v>
      </c>
      <c r="B647" s="16" t="s">
        <v>1641</v>
      </c>
      <c r="C647" s="16" t="str">
        <f>"V3637603937001"</f>
        <v>V3637603937001</v>
      </c>
      <c r="D647" s="16" t="s">
        <v>3892</v>
      </c>
      <c r="E647" s="16" t="s">
        <v>3877</v>
      </c>
      <c r="F647" s="22" t="s">
        <v>3878</v>
      </c>
      <c r="G647" s="16" t="s">
        <v>1645</v>
      </c>
      <c r="H647" s="16" t="s">
        <v>13</v>
      </c>
      <c r="I647" s="16">
        <v>2014</v>
      </c>
      <c r="J647" s="16" t="s">
        <v>423</v>
      </c>
      <c r="K647" s="16" t="s">
        <v>48</v>
      </c>
      <c r="L647" s="16" t="s">
        <v>15</v>
      </c>
      <c r="M647" s="16" t="s">
        <v>3893</v>
      </c>
      <c r="N647" s="16"/>
      <c r="O647" s="16"/>
    </row>
    <row r="648" spans="1:15" x14ac:dyDescent="0.3">
      <c r="A648" s="16">
        <v>647</v>
      </c>
      <c r="B648" s="16" t="s">
        <v>1641</v>
      </c>
      <c r="C648" s="16" t="str">
        <f>"V3637603938001"</f>
        <v>V3637603938001</v>
      </c>
      <c r="D648" s="16" t="s">
        <v>3894</v>
      </c>
      <c r="E648" s="16" t="s">
        <v>3877</v>
      </c>
      <c r="F648" s="22" t="s">
        <v>3878</v>
      </c>
      <c r="G648" s="16" t="s">
        <v>1645</v>
      </c>
      <c r="H648" s="16" t="s">
        <v>13</v>
      </c>
      <c r="I648" s="16">
        <v>2014</v>
      </c>
      <c r="J648" s="16" t="s">
        <v>3895</v>
      </c>
      <c r="K648" s="16" t="s">
        <v>48</v>
      </c>
      <c r="L648" s="16" t="s">
        <v>15</v>
      </c>
      <c r="M648" s="16" t="s">
        <v>3896</v>
      </c>
      <c r="N648" s="16"/>
      <c r="O648" s="16"/>
    </row>
    <row r="649" spans="1:15" x14ac:dyDescent="0.3">
      <c r="A649" s="16">
        <v>648</v>
      </c>
      <c r="B649" s="16" t="s">
        <v>1641</v>
      </c>
      <c r="C649" s="16" t="str">
        <f>"V3637603939001"</f>
        <v>V3637603939001</v>
      </c>
      <c r="D649" s="16" t="s">
        <v>3897</v>
      </c>
      <c r="E649" s="16" t="s">
        <v>3877</v>
      </c>
      <c r="F649" s="22" t="s">
        <v>3878</v>
      </c>
      <c r="G649" s="16" t="s">
        <v>1645</v>
      </c>
      <c r="H649" s="16" t="s">
        <v>13</v>
      </c>
      <c r="I649" s="16">
        <v>2014</v>
      </c>
      <c r="J649" s="16" t="s">
        <v>423</v>
      </c>
      <c r="K649" s="16" t="s">
        <v>48</v>
      </c>
      <c r="L649" s="16" t="s">
        <v>15</v>
      </c>
      <c r="M649" s="16" t="s">
        <v>3898</v>
      </c>
      <c r="N649" s="16"/>
      <c r="O649" s="16"/>
    </row>
    <row r="650" spans="1:15" x14ac:dyDescent="0.3">
      <c r="A650" s="16">
        <v>649</v>
      </c>
      <c r="B650" s="16" t="s">
        <v>1641</v>
      </c>
      <c r="C650" s="16" t="str">
        <f>"V3637603940001"</f>
        <v>V3637603940001</v>
      </c>
      <c r="D650" s="16" t="s">
        <v>3899</v>
      </c>
      <c r="E650" s="16" t="s">
        <v>3877</v>
      </c>
      <c r="F650" s="22" t="s">
        <v>3878</v>
      </c>
      <c r="G650" s="16" t="s">
        <v>1645</v>
      </c>
      <c r="H650" s="16" t="s">
        <v>13</v>
      </c>
      <c r="I650" s="16">
        <v>2014</v>
      </c>
      <c r="J650" s="16" t="s">
        <v>423</v>
      </c>
      <c r="K650" s="16" t="s">
        <v>48</v>
      </c>
      <c r="L650" s="16" t="s">
        <v>15</v>
      </c>
      <c r="M650" s="16" t="s">
        <v>3900</v>
      </c>
      <c r="N650" s="16"/>
      <c r="O650" s="16"/>
    </row>
    <row r="651" spans="1:15" x14ac:dyDescent="0.3">
      <c r="A651" s="16">
        <v>650</v>
      </c>
      <c r="B651" s="16" t="s">
        <v>1641</v>
      </c>
      <c r="C651" s="16" t="str">
        <f>"V3637603941001"</f>
        <v>V3637603941001</v>
      </c>
      <c r="D651" s="16" t="s">
        <v>3901</v>
      </c>
      <c r="E651" s="16" t="s">
        <v>3877</v>
      </c>
      <c r="F651" s="22" t="s">
        <v>3878</v>
      </c>
      <c r="G651" s="16" t="s">
        <v>1645</v>
      </c>
      <c r="H651" s="16" t="s">
        <v>13</v>
      </c>
      <c r="I651" s="16">
        <v>2014</v>
      </c>
      <c r="J651" s="16" t="s">
        <v>3888</v>
      </c>
      <c r="K651" s="16" t="s">
        <v>48</v>
      </c>
      <c r="L651" s="16" t="s">
        <v>15</v>
      </c>
      <c r="M651" s="16" t="s">
        <v>3902</v>
      </c>
      <c r="N651" s="16"/>
      <c r="O651" s="16"/>
    </row>
    <row r="652" spans="1:15" x14ac:dyDescent="0.3">
      <c r="A652" s="16">
        <v>651</v>
      </c>
      <c r="B652" s="16" t="s">
        <v>1641</v>
      </c>
      <c r="C652" s="16" t="str">
        <f>"V3637603942001"</f>
        <v>V3637603942001</v>
      </c>
      <c r="D652" s="16" t="s">
        <v>3903</v>
      </c>
      <c r="E652" s="16" t="s">
        <v>3877</v>
      </c>
      <c r="F652" s="22" t="s">
        <v>3878</v>
      </c>
      <c r="G652" s="16" t="s">
        <v>1645</v>
      </c>
      <c r="H652" s="16" t="s">
        <v>13</v>
      </c>
      <c r="I652" s="16">
        <v>2014</v>
      </c>
      <c r="J652" s="16" t="s">
        <v>3904</v>
      </c>
      <c r="K652" s="16" t="s">
        <v>48</v>
      </c>
      <c r="L652" s="16" t="s">
        <v>15</v>
      </c>
      <c r="M652" s="16" t="s">
        <v>3905</v>
      </c>
      <c r="N652" s="16"/>
      <c r="O652" s="16"/>
    </row>
    <row r="653" spans="1:15" x14ac:dyDescent="0.3">
      <c r="A653" s="16">
        <v>652</v>
      </c>
      <c r="B653" s="16" t="s">
        <v>1641</v>
      </c>
      <c r="C653" s="16" t="str">
        <f>"V3637603943001"</f>
        <v>V3637603943001</v>
      </c>
      <c r="D653" s="16" t="s">
        <v>3906</v>
      </c>
      <c r="E653" s="16" t="s">
        <v>3877</v>
      </c>
      <c r="F653" s="22" t="s">
        <v>3878</v>
      </c>
      <c r="G653" s="16" t="s">
        <v>1645</v>
      </c>
      <c r="H653" s="16" t="s">
        <v>13</v>
      </c>
      <c r="I653" s="16">
        <v>2014</v>
      </c>
      <c r="J653" s="16" t="s">
        <v>3907</v>
      </c>
      <c r="K653" s="16" t="s">
        <v>48</v>
      </c>
      <c r="L653" s="16" t="s">
        <v>15</v>
      </c>
      <c r="M653" s="16" t="s">
        <v>3908</v>
      </c>
      <c r="N653" s="16"/>
      <c r="O653" s="16"/>
    </row>
    <row r="654" spans="1:15" x14ac:dyDescent="0.3">
      <c r="A654" s="16">
        <v>653</v>
      </c>
      <c r="B654" s="16" t="s">
        <v>1641</v>
      </c>
      <c r="C654" s="16" t="str">
        <f>"V3637603944001"</f>
        <v>V3637603944001</v>
      </c>
      <c r="D654" s="16" t="s">
        <v>3909</v>
      </c>
      <c r="E654" s="16" t="s">
        <v>3877</v>
      </c>
      <c r="F654" s="22" t="s">
        <v>3878</v>
      </c>
      <c r="G654" s="16" t="s">
        <v>1645</v>
      </c>
      <c r="H654" s="16" t="s">
        <v>13</v>
      </c>
      <c r="I654" s="16">
        <v>2014</v>
      </c>
      <c r="J654" s="16" t="s">
        <v>3910</v>
      </c>
      <c r="K654" s="16" t="s">
        <v>3772</v>
      </c>
      <c r="L654" s="16" t="s">
        <v>15</v>
      </c>
      <c r="M654" s="16" t="s">
        <v>3911</v>
      </c>
      <c r="N654" s="16"/>
      <c r="O654" s="16"/>
    </row>
    <row r="655" spans="1:15" x14ac:dyDescent="0.3">
      <c r="A655" s="16">
        <v>654</v>
      </c>
      <c r="B655" s="16" t="s">
        <v>1641</v>
      </c>
      <c r="C655" s="16" t="str">
        <f>"V3637603945001"</f>
        <v>V3637603945001</v>
      </c>
      <c r="D655" s="16" t="s">
        <v>3912</v>
      </c>
      <c r="E655" s="16" t="s">
        <v>3877</v>
      </c>
      <c r="F655" s="22" t="s">
        <v>3878</v>
      </c>
      <c r="G655" s="16" t="s">
        <v>1645</v>
      </c>
      <c r="H655" s="16" t="s">
        <v>13</v>
      </c>
      <c r="I655" s="16">
        <v>2014</v>
      </c>
      <c r="J655" s="16" t="s">
        <v>3913</v>
      </c>
      <c r="K655" s="16" t="s">
        <v>48</v>
      </c>
      <c r="L655" s="16" t="s">
        <v>15</v>
      </c>
      <c r="M655" s="16" t="s">
        <v>3914</v>
      </c>
      <c r="N655" s="16"/>
      <c r="O655" s="16"/>
    </row>
    <row r="656" spans="1:15" x14ac:dyDescent="0.3">
      <c r="A656" s="16">
        <v>655</v>
      </c>
      <c r="B656" s="16" t="s">
        <v>1641</v>
      </c>
      <c r="C656" s="16" t="str">
        <f>"V3637603946001"</f>
        <v>V3637603946001</v>
      </c>
      <c r="D656" s="16" t="s">
        <v>3915</v>
      </c>
      <c r="E656" s="16" t="s">
        <v>3877</v>
      </c>
      <c r="F656" s="22" t="s">
        <v>3878</v>
      </c>
      <c r="G656" s="16" t="s">
        <v>1645</v>
      </c>
      <c r="H656" s="16" t="s">
        <v>13</v>
      </c>
      <c r="I656" s="16">
        <v>2014</v>
      </c>
      <c r="J656" s="16" t="s">
        <v>3916</v>
      </c>
      <c r="K656" s="16" t="s">
        <v>48</v>
      </c>
      <c r="L656" s="16" t="s">
        <v>15</v>
      </c>
      <c r="M656" s="16" t="s">
        <v>3917</v>
      </c>
      <c r="N656" s="16"/>
      <c r="O656" s="16"/>
    </row>
    <row r="657" spans="1:15" x14ac:dyDescent="0.3">
      <c r="A657" s="16">
        <v>656</v>
      </c>
      <c r="B657" s="16" t="s">
        <v>1641</v>
      </c>
      <c r="C657" s="16" t="str">
        <f>"V3637603947001"</f>
        <v>V3637603947001</v>
      </c>
      <c r="D657" s="16" t="s">
        <v>3918</v>
      </c>
      <c r="E657" s="16" t="s">
        <v>3877</v>
      </c>
      <c r="F657" s="22" t="s">
        <v>3878</v>
      </c>
      <c r="G657" s="16" t="s">
        <v>1645</v>
      </c>
      <c r="H657" s="16" t="s">
        <v>13</v>
      </c>
      <c r="I657" s="16">
        <v>2014</v>
      </c>
      <c r="J657" s="16" t="s">
        <v>3919</v>
      </c>
      <c r="K657" s="16" t="s">
        <v>3772</v>
      </c>
      <c r="L657" s="16" t="s">
        <v>15</v>
      </c>
      <c r="M657" s="16" t="s">
        <v>3920</v>
      </c>
      <c r="N657" s="16"/>
      <c r="O657" s="16"/>
    </row>
    <row r="658" spans="1:15" x14ac:dyDescent="0.3">
      <c r="A658" s="16">
        <v>657</v>
      </c>
      <c r="B658" s="16" t="s">
        <v>1641</v>
      </c>
      <c r="C658" s="16" t="str">
        <f>"V3637603948001"</f>
        <v>V3637603948001</v>
      </c>
      <c r="D658" s="16" t="s">
        <v>3921</v>
      </c>
      <c r="E658" s="16" t="s">
        <v>3877</v>
      </c>
      <c r="F658" s="22" t="s">
        <v>3878</v>
      </c>
      <c r="G658" s="16" t="s">
        <v>1645</v>
      </c>
      <c r="H658" s="16" t="s">
        <v>13</v>
      </c>
      <c r="I658" s="16">
        <v>2014</v>
      </c>
      <c r="J658" s="16" t="s">
        <v>3922</v>
      </c>
      <c r="K658" s="16" t="s">
        <v>48</v>
      </c>
      <c r="L658" s="16" t="s">
        <v>15</v>
      </c>
      <c r="M658" s="16" t="s">
        <v>3923</v>
      </c>
      <c r="N658" s="16"/>
      <c r="O658" s="16"/>
    </row>
    <row r="659" spans="1:15" x14ac:dyDescent="0.3">
      <c r="A659" s="16">
        <v>658</v>
      </c>
      <c r="B659" s="16" t="s">
        <v>1641</v>
      </c>
      <c r="C659" s="16" t="str">
        <f>"V3637603949001"</f>
        <v>V3637603949001</v>
      </c>
      <c r="D659" s="16" t="s">
        <v>3924</v>
      </c>
      <c r="E659" s="16" t="s">
        <v>3877</v>
      </c>
      <c r="F659" s="22" t="s">
        <v>3878</v>
      </c>
      <c r="G659" s="16" t="s">
        <v>1645</v>
      </c>
      <c r="H659" s="16" t="s">
        <v>13</v>
      </c>
      <c r="I659" s="16">
        <v>2014</v>
      </c>
      <c r="J659" s="16" t="s">
        <v>3925</v>
      </c>
      <c r="K659" s="16" t="s">
        <v>48</v>
      </c>
      <c r="L659" s="16" t="s">
        <v>15</v>
      </c>
      <c r="M659" s="16" t="s">
        <v>3926</v>
      </c>
      <c r="N659" s="16"/>
      <c r="O659" s="16"/>
    </row>
    <row r="660" spans="1:15" x14ac:dyDescent="0.3">
      <c r="A660" s="16">
        <v>659</v>
      </c>
      <c r="B660" s="16" t="s">
        <v>1641</v>
      </c>
      <c r="C660" s="16" t="str">
        <f>"V3637603950001"</f>
        <v>V3637603950001</v>
      </c>
      <c r="D660" s="16" t="s">
        <v>3927</v>
      </c>
      <c r="E660" s="16" t="s">
        <v>3877</v>
      </c>
      <c r="F660" s="22" t="s">
        <v>3878</v>
      </c>
      <c r="G660" s="16" t="s">
        <v>1645</v>
      </c>
      <c r="H660" s="16" t="s">
        <v>13</v>
      </c>
      <c r="I660" s="16">
        <v>2014</v>
      </c>
      <c r="J660" s="16" t="s">
        <v>3928</v>
      </c>
      <c r="K660" s="16" t="s">
        <v>48</v>
      </c>
      <c r="L660" s="16" t="s">
        <v>15</v>
      </c>
      <c r="M660" s="16" t="s">
        <v>3929</v>
      </c>
      <c r="N660" s="16"/>
      <c r="O660" s="16"/>
    </row>
    <row r="661" spans="1:15" x14ac:dyDescent="0.3">
      <c r="A661" s="16">
        <v>660</v>
      </c>
      <c r="B661" s="16" t="s">
        <v>1641</v>
      </c>
      <c r="C661" s="16" t="str">
        <f>"V3637603951001"</f>
        <v>V3637603951001</v>
      </c>
      <c r="D661" s="16" t="s">
        <v>3930</v>
      </c>
      <c r="E661" s="16" t="s">
        <v>3877</v>
      </c>
      <c r="F661" s="22" t="s">
        <v>3878</v>
      </c>
      <c r="G661" s="16" t="s">
        <v>1645</v>
      </c>
      <c r="H661" s="16" t="s">
        <v>13</v>
      </c>
      <c r="I661" s="16">
        <v>2014</v>
      </c>
      <c r="J661" s="16" t="s">
        <v>3931</v>
      </c>
      <c r="K661" s="16" t="s">
        <v>48</v>
      </c>
      <c r="L661" s="16" t="s">
        <v>15</v>
      </c>
      <c r="M661" s="16" t="s">
        <v>3932</v>
      </c>
      <c r="N661" s="16"/>
      <c r="O661" s="16"/>
    </row>
    <row r="662" spans="1:15" x14ac:dyDescent="0.3">
      <c r="A662" s="16">
        <v>661</v>
      </c>
      <c r="B662" s="16" t="s">
        <v>1641</v>
      </c>
      <c r="C662" s="16" t="str">
        <f>"V3637603952001"</f>
        <v>V3637603952001</v>
      </c>
      <c r="D662" s="16" t="s">
        <v>3933</v>
      </c>
      <c r="E662" s="16" t="s">
        <v>3877</v>
      </c>
      <c r="F662" s="22" t="s">
        <v>3878</v>
      </c>
      <c r="G662" s="16" t="s">
        <v>1645</v>
      </c>
      <c r="H662" s="16" t="s">
        <v>13</v>
      </c>
      <c r="I662" s="16">
        <v>2014</v>
      </c>
      <c r="J662" s="16" t="s">
        <v>423</v>
      </c>
      <c r="K662" s="16" t="s">
        <v>48</v>
      </c>
      <c r="L662" s="16" t="s">
        <v>15</v>
      </c>
      <c r="M662" s="16" t="s">
        <v>3934</v>
      </c>
      <c r="N662" s="16"/>
      <c r="O662" s="16"/>
    </row>
    <row r="663" spans="1:15" x14ac:dyDescent="0.3">
      <c r="A663" s="16">
        <v>662</v>
      </c>
      <c r="B663" s="16" t="s">
        <v>1641</v>
      </c>
      <c r="C663" s="16" t="str">
        <f>"V3637603953001"</f>
        <v>V3637603953001</v>
      </c>
      <c r="D663" s="16" t="s">
        <v>3935</v>
      </c>
      <c r="E663" s="16" t="s">
        <v>3877</v>
      </c>
      <c r="F663" s="22" t="s">
        <v>3878</v>
      </c>
      <c r="G663" s="16" t="s">
        <v>1645</v>
      </c>
      <c r="H663" s="16" t="s">
        <v>13</v>
      </c>
      <c r="I663" s="16">
        <v>2014</v>
      </c>
      <c r="J663" s="16" t="s">
        <v>3936</v>
      </c>
      <c r="K663" s="16" t="s">
        <v>48</v>
      </c>
      <c r="L663" s="16" t="s">
        <v>15</v>
      </c>
      <c r="M663" s="16" t="s">
        <v>3937</v>
      </c>
      <c r="N663" s="16"/>
      <c r="O663" s="16"/>
    </row>
    <row r="664" spans="1:15" x14ac:dyDescent="0.3">
      <c r="A664" s="16">
        <v>663</v>
      </c>
      <c r="B664" s="16" t="s">
        <v>1641</v>
      </c>
      <c r="C664" s="16" t="str">
        <f>"V3637603954001"</f>
        <v>V3637603954001</v>
      </c>
      <c r="D664" s="16" t="s">
        <v>3938</v>
      </c>
      <c r="E664" s="16" t="s">
        <v>3877</v>
      </c>
      <c r="F664" s="22" t="s">
        <v>3878</v>
      </c>
      <c r="G664" s="16" t="s">
        <v>1645</v>
      </c>
      <c r="H664" s="16" t="s">
        <v>13</v>
      </c>
      <c r="I664" s="16">
        <v>2014</v>
      </c>
      <c r="J664" s="16" t="s">
        <v>3939</v>
      </c>
      <c r="K664" s="16" t="s">
        <v>3940</v>
      </c>
      <c r="L664" s="16" t="s">
        <v>15</v>
      </c>
      <c r="M664" s="16" t="s">
        <v>3941</v>
      </c>
      <c r="N664" s="16"/>
      <c r="O664" s="16"/>
    </row>
    <row r="665" spans="1:15" x14ac:dyDescent="0.3">
      <c r="A665" s="16">
        <v>664</v>
      </c>
      <c r="B665" s="16" t="s">
        <v>1641</v>
      </c>
      <c r="C665" s="16" t="str">
        <f>"V3637603955001"</f>
        <v>V3637603955001</v>
      </c>
      <c r="D665" s="16" t="s">
        <v>3942</v>
      </c>
      <c r="E665" s="16" t="s">
        <v>3877</v>
      </c>
      <c r="F665" s="22" t="s">
        <v>3878</v>
      </c>
      <c r="G665" s="16" t="s">
        <v>1645</v>
      </c>
      <c r="H665" s="16" t="s">
        <v>13</v>
      </c>
      <c r="I665" s="16">
        <v>2014</v>
      </c>
      <c r="J665" s="16" t="s">
        <v>3943</v>
      </c>
      <c r="K665" s="16" t="s">
        <v>3944</v>
      </c>
      <c r="L665" s="16" t="s">
        <v>15</v>
      </c>
      <c r="M665" s="16" t="s">
        <v>3945</v>
      </c>
      <c r="N665" s="16"/>
      <c r="O665" s="16"/>
    </row>
    <row r="666" spans="1:15" x14ac:dyDescent="0.3">
      <c r="A666" s="16">
        <v>665</v>
      </c>
      <c r="B666" s="16" t="s">
        <v>1641</v>
      </c>
      <c r="C666" s="16" t="str">
        <f>"V3637603956001"</f>
        <v>V3637603956001</v>
      </c>
      <c r="D666" s="16" t="s">
        <v>3946</v>
      </c>
      <c r="E666" s="16" t="s">
        <v>3877</v>
      </c>
      <c r="F666" s="22" t="s">
        <v>3878</v>
      </c>
      <c r="G666" s="16" t="s">
        <v>1645</v>
      </c>
      <c r="H666" s="16" t="s">
        <v>13</v>
      </c>
      <c r="I666" s="16">
        <v>2014</v>
      </c>
      <c r="J666" s="16" t="s">
        <v>3947</v>
      </c>
      <c r="K666" s="16" t="s">
        <v>48</v>
      </c>
      <c r="L666" s="16" t="s">
        <v>15</v>
      </c>
      <c r="M666" s="16" t="s">
        <v>3948</v>
      </c>
      <c r="N666" s="16"/>
      <c r="O666" s="16"/>
    </row>
    <row r="667" spans="1:15" x14ac:dyDescent="0.3">
      <c r="A667" s="16">
        <v>666</v>
      </c>
      <c r="B667" s="16" t="s">
        <v>1641</v>
      </c>
      <c r="C667" s="16" t="str">
        <f>"V3637603957001"</f>
        <v>V3637603957001</v>
      </c>
      <c r="D667" s="16" t="s">
        <v>3949</v>
      </c>
      <c r="E667" s="16" t="s">
        <v>3877</v>
      </c>
      <c r="F667" s="22" t="s">
        <v>3878</v>
      </c>
      <c r="G667" s="16" t="s">
        <v>1645</v>
      </c>
      <c r="H667" s="16" t="s">
        <v>13</v>
      </c>
      <c r="I667" s="16">
        <v>2014</v>
      </c>
      <c r="J667" s="16" t="s">
        <v>3950</v>
      </c>
      <c r="K667" s="16" t="s">
        <v>3951</v>
      </c>
      <c r="L667" s="16" t="s">
        <v>15</v>
      </c>
      <c r="M667" s="16" t="s">
        <v>3952</v>
      </c>
      <c r="N667" s="16"/>
      <c r="O667" s="16"/>
    </row>
    <row r="668" spans="1:15" x14ac:dyDescent="0.3">
      <c r="A668" s="16">
        <v>667</v>
      </c>
      <c r="B668" s="16" t="s">
        <v>1641</v>
      </c>
      <c r="C668" s="16" t="str">
        <f>"V3637603958001"</f>
        <v>V3637603958001</v>
      </c>
      <c r="D668" s="16" t="s">
        <v>3953</v>
      </c>
      <c r="E668" s="16" t="s">
        <v>3877</v>
      </c>
      <c r="F668" s="22" t="s">
        <v>3878</v>
      </c>
      <c r="G668" s="16" t="s">
        <v>1645</v>
      </c>
      <c r="H668" s="16" t="s">
        <v>13</v>
      </c>
      <c r="I668" s="16">
        <v>2014</v>
      </c>
      <c r="J668" s="16" t="s">
        <v>3910</v>
      </c>
      <c r="K668" s="16" t="s">
        <v>3772</v>
      </c>
      <c r="L668" s="16" t="s">
        <v>15</v>
      </c>
      <c r="M668" s="16" t="s">
        <v>3954</v>
      </c>
      <c r="N668" s="16"/>
      <c r="O668" s="16"/>
    </row>
    <row r="669" spans="1:15" x14ac:dyDescent="0.3">
      <c r="A669" s="16">
        <v>668</v>
      </c>
      <c r="B669" s="16" t="s">
        <v>1641</v>
      </c>
      <c r="C669" s="16" t="str">
        <f>"V3637603959001"</f>
        <v>V3637603959001</v>
      </c>
      <c r="D669" s="16" t="s">
        <v>3955</v>
      </c>
      <c r="E669" s="16" t="s">
        <v>3877</v>
      </c>
      <c r="F669" s="22" t="s">
        <v>3878</v>
      </c>
      <c r="G669" s="16" t="s">
        <v>1645</v>
      </c>
      <c r="H669" s="16" t="s">
        <v>13</v>
      </c>
      <c r="I669" s="16">
        <v>2014</v>
      </c>
      <c r="J669" s="16" t="s">
        <v>423</v>
      </c>
      <c r="K669" s="16" t="s">
        <v>48</v>
      </c>
      <c r="L669" s="16" t="s">
        <v>15</v>
      </c>
      <c r="M669" s="16" t="s">
        <v>3956</v>
      </c>
      <c r="N669" s="16"/>
      <c r="O669" s="16"/>
    </row>
    <row r="670" spans="1:15" x14ac:dyDescent="0.3">
      <c r="A670" s="16">
        <v>669</v>
      </c>
      <c r="B670" s="16" t="s">
        <v>1641</v>
      </c>
      <c r="C670" s="16" t="str">
        <f>"V3637603960001"</f>
        <v>V3637603960001</v>
      </c>
      <c r="D670" s="16" t="s">
        <v>3957</v>
      </c>
      <c r="E670" s="16" t="s">
        <v>3877</v>
      </c>
      <c r="F670" s="22" t="s">
        <v>3878</v>
      </c>
      <c r="G670" s="16" t="s">
        <v>1645</v>
      </c>
      <c r="H670" s="16" t="s">
        <v>13</v>
      </c>
      <c r="I670" s="16">
        <v>2014</v>
      </c>
      <c r="J670" s="16" t="s">
        <v>3958</v>
      </c>
      <c r="K670" s="16" t="s">
        <v>48</v>
      </c>
      <c r="L670" s="16" t="s">
        <v>15</v>
      </c>
      <c r="M670" s="16" t="s">
        <v>3959</v>
      </c>
      <c r="N670" s="16"/>
      <c r="O670" s="16"/>
    </row>
    <row r="671" spans="1:15" x14ac:dyDescent="0.3">
      <c r="A671" s="16">
        <v>670</v>
      </c>
      <c r="B671" s="16" t="s">
        <v>1641</v>
      </c>
      <c r="C671" s="16" t="str">
        <f>"V3637603961001"</f>
        <v>V3637603961001</v>
      </c>
      <c r="D671" s="16" t="s">
        <v>3960</v>
      </c>
      <c r="E671" s="16" t="s">
        <v>3877</v>
      </c>
      <c r="F671" s="22" t="s">
        <v>3878</v>
      </c>
      <c r="G671" s="16" t="s">
        <v>1645</v>
      </c>
      <c r="H671" s="16" t="s">
        <v>13</v>
      </c>
      <c r="I671" s="16">
        <v>2014</v>
      </c>
      <c r="J671" s="16" t="s">
        <v>3961</v>
      </c>
      <c r="K671" s="16" t="s">
        <v>1647</v>
      </c>
      <c r="L671" s="16" t="s">
        <v>15</v>
      </c>
      <c r="M671" s="16" t="s">
        <v>3962</v>
      </c>
      <c r="N671" s="16"/>
      <c r="O671" s="16"/>
    </row>
    <row r="672" spans="1:15" x14ac:dyDescent="0.3">
      <c r="A672" s="16">
        <v>671</v>
      </c>
      <c r="B672" s="16" t="s">
        <v>1641</v>
      </c>
      <c r="C672" s="16" t="str">
        <f>"V3667696169001"</f>
        <v>V3667696169001</v>
      </c>
      <c r="D672" s="16" t="s">
        <v>3963</v>
      </c>
      <c r="E672" s="16" t="s">
        <v>3810</v>
      </c>
      <c r="F672" s="22" t="s">
        <v>3811</v>
      </c>
      <c r="G672" s="16" t="s">
        <v>333</v>
      </c>
      <c r="H672" s="16" t="s">
        <v>13</v>
      </c>
      <c r="I672" s="16">
        <v>2014</v>
      </c>
      <c r="J672" s="16" t="s">
        <v>3964</v>
      </c>
      <c r="K672" s="16" t="s">
        <v>3823</v>
      </c>
      <c r="L672" s="16" t="s">
        <v>15</v>
      </c>
      <c r="M672" s="16" t="s">
        <v>3965</v>
      </c>
      <c r="N672" s="16"/>
      <c r="O672" s="16"/>
    </row>
    <row r="673" spans="1:15" x14ac:dyDescent="0.3">
      <c r="A673" s="16">
        <v>672</v>
      </c>
      <c r="B673" s="16" t="s">
        <v>1641</v>
      </c>
      <c r="C673" s="16" t="str">
        <f>"V3667696170001"</f>
        <v>V3667696170001</v>
      </c>
      <c r="D673" s="16" t="s">
        <v>3966</v>
      </c>
      <c r="E673" s="16" t="s">
        <v>3810</v>
      </c>
      <c r="F673" s="22" t="s">
        <v>3811</v>
      </c>
      <c r="G673" s="16" t="s">
        <v>333</v>
      </c>
      <c r="H673" s="16" t="s">
        <v>13</v>
      </c>
      <c r="I673" s="16">
        <v>2014</v>
      </c>
      <c r="J673" s="16" t="s">
        <v>3967</v>
      </c>
      <c r="K673" s="16" t="s">
        <v>3968</v>
      </c>
      <c r="L673" s="16" t="s">
        <v>15</v>
      </c>
      <c r="M673" s="16" t="s">
        <v>3969</v>
      </c>
      <c r="N673" s="16"/>
      <c r="O673" s="16"/>
    </row>
    <row r="674" spans="1:15" x14ac:dyDescent="0.3">
      <c r="A674" s="16">
        <v>673</v>
      </c>
      <c r="B674" s="16" t="s">
        <v>1641</v>
      </c>
      <c r="C674" s="16" t="str">
        <f>"V3667696171001"</f>
        <v>V3667696171001</v>
      </c>
      <c r="D674" s="16" t="s">
        <v>3970</v>
      </c>
      <c r="E674" s="16" t="s">
        <v>3810</v>
      </c>
      <c r="F674" s="22" t="s">
        <v>3811</v>
      </c>
      <c r="G674" s="16" t="s">
        <v>333</v>
      </c>
      <c r="H674" s="16" t="s">
        <v>13</v>
      </c>
      <c r="I674" s="16">
        <v>2014</v>
      </c>
      <c r="J674" s="16" t="s">
        <v>3971</v>
      </c>
      <c r="K674" s="16" t="s">
        <v>3823</v>
      </c>
      <c r="L674" s="16" t="s">
        <v>15</v>
      </c>
      <c r="M674" s="16" t="s">
        <v>3972</v>
      </c>
      <c r="N674" s="16"/>
      <c r="O674" s="16"/>
    </row>
    <row r="675" spans="1:15" x14ac:dyDescent="0.3">
      <c r="A675" s="16">
        <v>674</v>
      </c>
      <c r="B675" s="16" t="s">
        <v>1641</v>
      </c>
      <c r="C675" s="16" t="str">
        <f>"V3667696172001"</f>
        <v>V3667696172001</v>
      </c>
      <c r="D675" s="16" t="s">
        <v>3973</v>
      </c>
      <c r="E675" s="16" t="s">
        <v>3810</v>
      </c>
      <c r="F675" s="22" t="s">
        <v>3811</v>
      </c>
      <c r="G675" s="16" t="s">
        <v>333</v>
      </c>
      <c r="H675" s="16" t="s">
        <v>13</v>
      </c>
      <c r="I675" s="16">
        <v>2014</v>
      </c>
      <c r="J675" s="16" t="s">
        <v>3974</v>
      </c>
      <c r="K675" s="16" t="s">
        <v>3823</v>
      </c>
      <c r="L675" s="16" t="s">
        <v>15</v>
      </c>
      <c r="M675" s="16" t="s">
        <v>3975</v>
      </c>
      <c r="N675" s="16"/>
      <c r="O675" s="16"/>
    </row>
    <row r="676" spans="1:15" x14ac:dyDescent="0.3">
      <c r="A676" s="16">
        <v>675</v>
      </c>
      <c r="B676" s="16" t="s">
        <v>1641</v>
      </c>
      <c r="C676" s="16" t="str">
        <f>"V3705146112001"</f>
        <v>V3705146112001</v>
      </c>
      <c r="D676" s="16" t="s">
        <v>3976</v>
      </c>
      <c r="E676" s="16" t="s">
        <v>3977</v>
      </c>
      <c r="F676" s="21">
        <v>9780071826631</v>
      </c>
      <c r="G676" s="16" t="s">
        <v>2022</v>
      </c>
      <c r="H676" s="16" t="s">
        <v>13</v>
      </c>
      <c r="I676" s="16">
        <v>2014</v>
      </c>
      <c r="J676" s="16" t="s">
        <v>3978</v>
      </c>
      <c r="K676" s="16" t="s">
        <v>3979</v>
      </c>
      <c r="L676" s="16" t="s">
        <v>15</v>
      </c>
      <c r="M676" s="16" t="s">
        <v>3980</v>
      </c>
      <c r="N676" s="16"/>
      <c r="O676" s="16"/>
    </row>
    <row r="677" spans="1:15" x14ac:dyDescent="0.3">
      <c r="A677" s="16">
        <v>676</v>
      </c>
      <c r="B677" s="16" t="s">
        <v>1641</v>
      </c>
      <c r="C677" s="16" t="str">
        <f>"V3705146113001"</f>
        <v>V3705146113001</v>
      </c>
      <c r="D677" s="16" t="s">
        <v>3981</v>
      </c>
      <c r="E677" s="16" t="s">
        <v>3977</v>
      </c>
      <c r="F677" s="21">
        <v>9780071826631</v>
      </c>
      <c r="G677" s="16" t="s">
        <v>2022</v>
      </c>
      <c r="H677" s="16" t="s">
        <v>13</v>
      </c>
      <c r="I677" s="16">
        <v>2014</v>
      </c>
      <c r="J677" s="16" t="s">
        <v>3982</v>
      </c>
      <c r="K677" s="16" t="s">
        <v>2162</v>
      </c>
      <c r="L677" s="16" t="s">
        <v>15</v>
      </c>
      <c r="M677" s="16" t="s">
        <v>3983</v>
      </c>
      <c r="N677" s="16"/>
      <c r="O677" s="16"/>
    </row>
    <row r="678" spans="1:15" x14ac:dyDescent="0.3">
      <c r="A678" s="16">
        <v>677</v>
      </c>
      <c r="B678" s="16" t="s">
        <v>1641</v>
      </c>
      <c r="C678" s="16" t="str">
        <f>"V3705146114001"</f>
        <v>V3705146114001</v>
      </c>
      <c r="D678" s="16" t="s">
        <v>3984</v>
      </c>
      <c r="E678" s="16" t="s">
        <v>3977</v>
      </c>
      <c r="F678" s="21">
        <v>9780071826631</v>
      </c>
      <c r="G678" s="16" t="s">
        <v>2022</v>
      </c>
      <c r="H678" s="16" t="s">
        <v>13</v>
      </c>
      <c r="I678" s="16">
        <v>2014</v>
      </c>
      <c r="J678" s="16" t="s">
        <v>3985</v>
      </c>
      <c r="K678" s="16" t="s">
        <v>54</v>
      </c>
      <c r="L678" s="16" t="s">
        <v>15</v>
      </c>
      <c r="M678" s="16" t="s">
        <v>3986</v>
      </c>
      <c r="N678" s="16"/>
      <c r="O678" s="16"/>
    </row>
    <row r="679" spans="1:15" x14ac:dyDescent="0.3">
      <c r="A679" s="16">
        <v>678</v>
      </c>
      <c r="B679" s="16" t="s">
        <v>1641</v>
      </c>
      <c r="C679" s="16" t="str">
        <f>"V3705246408001"</f>
        <v>V3705246408001</v>
      </c>
      <c r="D679" s="16" t="s">
        <v>3987</v>
      </c>
      <c r="E679" s="16" t="s">
        <v>3977</v>
      </c>
      <c r="F679" s="21">
        <v>9780071826631</v>
      </c>
      <c r="G679" s="16" t="s">
        <v>2022</v>
      </c>
      <c r="H679" s="16" t="s">
        <v>13</v>
      </c>
      <c r="I679" s="16">
        <v>2014</v>
      </c>
      <c r="J679" s="16" t="s">
        <v>3988</v>
      </c>
      <c r="K679" s="16" t="s">
        <v>2213</v>
      </c>
      <c r="L679" s="16" t="s">
        <v>15</v>
      </c>
      <c r="M679" s="16" t="s">
        <v>3989</v>
      </c>
      <c r="N679" s="16"/>
      <c r="O679" s="16"/>
    </row>
    <row r="680" spans="1:15" x14ac:dyDescent="0.3">
      <c r="A680" s="16">
        <v>679</v>
      </c>
      <c r="B680" s="16" t="s">
        <v>1641</v>
      </c>
      <c r="C680" s="16" t="str">
        <f>"V3705246409001"</f>
        <v>V3705246409001</v>
      </c>
      <c r="D680" s="16" t="s">
        <v>3990</v>
      </c>
      <c r="E680" s="16" t="s">
        <v>3977</v>
      </c>
      <c r="F680" s="21">
        <v>9780071826631</v>
      </c>
      <c r="G680" s="16" t="s">
        <v>2022</v>
      </c>
      <c r="H680" s="16" t="s">
        <v>13</v>
      </c>
      <c r="I680" s="16">
        <v>2014</v>
      </c>
      <c r="J680" s="16" t="s">
        <v>3991</v>
      </c>
      <c r="K680" s="16" t="s">
        <v>2162</v>
      </c>
      <c r="L680" s="16" t="s">
        <v>15</v>
      </c>
      <c r="M680" s="16" t="s">
        <v>3992</v>
      </c>
      <c r="N680" s="16"/>
      <c r="O680" s="16"/>
    </row>
    <row r="681" spans="1:15" x14ac:dyDescent="0.3">
      <c r="A681" s="16">
        <v>680</v>
      </c>
      <c r="B681" s="16" t="s">
        <v>1641</v>
      </c>
      <c r="C681" s="16" t="str">
        <f>"V3705246410001"</f>
        <v>V3705246410001</v>
      </c>
      <c r="D681" s="16" t="s">
        <v>3993</v>
      </c>
      <c r="E681" s="16" t="s">
        <v>3977</v>
      </c>
      <c r="F681" s="21">
        <v>9780071826631</v>
      </c>
      <c r="G681" s="16" t="s">
        <v>2022</v>
      </c>
      <c r="H681" s="16" t="s">
        <v>13</v>
      </c>
      <c r="I681" s="16">
        <v>2014</v>
      </c>
      <c r="J681" s="16" t="s">
        <v>3994</v>
      </c>
      <c r="K681" s="16" t="s">
        <v>3289</v>
      </c>
      <c r="L681" s="16" t="s">
        <v>15</v>
      </c>
      <c r="M681" s="16" t="s">
        <v>3995</v>
      </c>
      <c r="N681" s="16"/>
      <c r="O681" s="16"/>
    </row>
    <row r="682" spans="1:15" x14ac:dyDescent="0.3">
      <c r="A682" s="16">
        <v>681</v>
      </c>
      <c r="B682" s="16" t="s">
        <v>1641</v>
      </c>
      <c r="C682" s="16" t="str">
        <f>"V3705246411001"</f>
        <v>V3705246411001</v>
      </c>
      <c r="D682" s="16" t="s">
        <v>3996</v>
      </c>
      <c r="E682" s="16" t="s">
        <v>3977</v>
      </c>
      <c r="F682" s="21">
        <v>9780071826631</v>
      </c>
      <c r="G682" s="16" t="s">
        <v>2022</v>
      </c>
      <c r="H682" s="16" t="s">
        <v>13</v>
      </c>
      <c r="I682" s="16">
        <v>2014</v>
      </c>
      <c r="J682" s="16" t="s">
        <v>3997</v>
      </c>
      <c r="K682" s="16" t="s">
        <v>3998</v>
      </c>
      <c r="L682" s="16" t="s">
        <v>15</v>
      </c>
      <c r="M682" s="16" t="s">
        <v>3999</v>
      </c>
      <c r="N682" s="16"/>
      <c r="O682" s="16"/>
    </row>
    <row r="683" spans="1:15" x14ac:dyDescent="0.3">
      <c r="A683" s="16">
        <v>682</v>
      </c>
      <c r="B683" s="16" t="s">
        <v>1641</v>
      </c>
      <c r="C683" s="16" t="str">
        <f>"V3705246412001"</f>
        <v>V3705246412001</v>
      </c>
      <c r="D683" s="16" t="s">
        <v>4000</v>
      </c>
      <c r="E683" s="16" t="s">
        <v>3977</v>
      </c>
      <c r="F683" s="21">
        <v>9780071826631</v>
      </c>
      <c r="G683" s="16" t="s">
        <v>2022</v>
      </c>
      <c r="H683" s="16" t="s">
        <v>13</v>
      </c>
      <c r="I683" s="16">
        <v>2014</v>
      </c>
      <c r="J683" s="16" t="s">
        <v>4001</v>
      </c>
      <c r="K683" s="16" t="s">
        <v>4002</v>
      </c>
      <c r="L683" s="16" t="s">
        <v>15</v>
      </c>
      <c r="M683" s="16" t="s">
        <v>4003</v>
      </c>
      <c r="N683" s="16"/>
      <c r="O683" s="16"/>
    </row>
    <row r="684" spans="1:15" x14ac:dyDescent="0.3">
      <c r="A684" s="16">
        <v>683</v>
      </c>
      <c r="B684" s="16" t="s">
        <v>1641</v>
      </c>
      <c r="C684" s="16" t="str">
        <f>"V4005352518001"</f>
        <v>V4005352518001</v>
      </c>
      <c r="D684" s="16" t="s">
        <v>4004</v>
      </c>
      <c r="E684" s="16" t="s">
        <v>4005</v>
      </c>
      <c r="F684" s="21">
        <v>9780071833479</v>
      </c>
      <c r="G684" s="16" t="s">
        <v>4006</v>
      </c>
      <c r="H684" s="16" t="s">
        <v>13</v>
      </c>
      <c r="I684" s="16">
        <v>2014</v>
      </c>
      <c r="J684" s="16" t="s">
        <v>4007</v>
      </c>
      <c r="K684" s="16" t="s">
        <v>28</v>
      </c>
      <c r="L684" s="16" t="s">
        <v>15</v>
      </c>
      <c r="M684" s="16" t="s">
        <v>4008</v>
      </c>
      <c r="N684" s="16"/>
      <c r="O684" s="16"/>
    </row>
    <row r="685" spans="1:15" x14ac:dyDescent="0.3">
      <c r="A685" s="16">
        <v>684</v>
      </c>
      <c r="B685" s="16" t="s">
        <v>1641</v>
      </c>
      <c r="C685" s="16" t="str">
        <f>"V4005352519001"</f>
        <v>V4005352519001</v>
      </c>
      <c r="D685" s="16" t="s">
        <v>4009</v>
      </c>
      <c r="E685" s="16" t="s">
        <v>4005</v>
      </c>
      <c r="F685" s="21">
        <v>9780071833479</v>
      </c>
      <c r="G685" s="16" t="s">
        <v>4006</v>
      </c>
      <c r="H685" s="16" t="s">
        <v>13</v>
      </c>
      <c r="I685" s="16">
        <v>2014</v>
      </c>
      <c r="J685" s="16" t="s">
        <v>4007</v>
      </c>
      <c r="K685" s="16" t="s">
        <v>28</v>
      </c>
      <c r="L685" s="16" t="s">
        <v>15</v>
      </c>
      <c r="M685" s="16" t="s">
        <v>4010</v>
      </c>
      <c r="N685" s="16"/>
      <c r="O685" s="16"/>
    </row>
    <row r="686" spans="1:15" x14ac:dyDescent="0.3">
      <c r="A686" s="16">
        <v>685</v>
      </c>
      <c r="B686" s="16" t="s">
        <v>1641</v>
      </c>
      <c r="C686" s="16" t="str">
        <f>"V4005352520001"</f>
        <v>V4005352520001</v>
      </c>
      <c r="D686" s="16" t="s">
        <v>4011</v>
      </c>
      <c r="E686" s="16" t="s">
        <v>4005</v>
      </c>
      <c r="F686" s="21">
        <v>9780071833479</v>
      </c>
      <c r="G686" s="16" t="s">
        <v>4006</v>
      </c>
      <c r="H686" s="16" t="s">
        <v>13</v>
      </c>
      <c r="I686" s="16">
        <v>2014</v>
      </c>
      <c r="J686" s="16" t="s">
        <v>4007</v>
      </c>
      <c r="K686" s="16" t="s">
        <v>28</v>
      </c>
      <c r="L686" s="16" t="s">
        <v>15</v>
      </c>
      <c r="M686" s="16" t="s">
        <v>4012</v>
      </c>
      <c r="N686" s="16"/>
      <c r="O686" s="16"/>
    </row>
    <row r="687" spans="1:15" x14ac:dyDescent="0.3">
      <c r="A687" s="16">
        <v>686</v>
      </c>
      <c r="B687" s="16" t="s">
        <v>1641</v>
      </c>
      <c r="C687" s="16" t="str">
        <f>"V4005352521001"</f>
        <v>V4005352521001</v>
      </c>
      <c r="D687" s="16" t="s">
        <v>4013</v>
      </c>
      <c r="E687" s="16" t="s">
        <v>4005</v>
      </c>
      <c r="F687" s="21">
        <v>9780071833479</v>
      </c>
      <c r="G687" s="16" t="s">
        <v>4006</v>
      </c>
      <c r="H687" s="16" t="s">
        <v>13</v>
      </c>
      <c r="I687" s="16">
        <v>2014</v>
      </c>
      <c r="J687" s="16" t="s">
        <v>4007</v>
      </c>
      <c r="K687" s="16" t="s">
        <v>28</v>
      </c>
      <c r="L687" s="16" t="s">
        <v>15</v>
      </c>
      <c r="M687" s="16" t="s">
        <v>4014</v>
      </c>
      <c r="N687" s="16"/>
      <c r="O687" s="16"/>
    </row>
    <row r="688" spans="1:15" x14ac:dyDescent="0.3">
      <c r="A688" s="16">
        <v>687</v>
      </c>
      <c r="B688" s="16" t="s">
        <v>1641</v>
      </c>
      <c r="C688" s="16" t="str">
        <f>"V4005352522001"</f>
        <v>V4005352522001</v>
      </c>
      <c r="D688" s="16" t="s">
        <v>4015</v>
      </c>
      <c r="E688" s="16" t="s">
        <v>4005</v>
      </c>
      <c r="F688" s="21">
        <v>9780071833479</v>
      </c>
      <c r="G688" s="16" t="s">
        <v>4006</v>
      </c>
      <c r="H688" s="16" t="s">
        <v>13</v>
      </c>
      <c r="I688" s="16">
        <v>2014</v>
      </c>
      <c r="J688" s="16" t="s">
        <v>4007</v>
      </c>
      <c r="K688" s="16" t="s">
        <v>28</v>
      </c>
      <c r="L688" s="16" t="s">
        <v>15</v>
      </c>
      <c r="M688" s="16" t="s">
        <v>4016</v>
      </c>
      <c r="N688" s="16"/>
      <c r="O688" s="16"/>
    </row>
    <row r="689" spans="1:15" x14ac:dyDescent="0.3">
      <c r="A689" s="16">
        <v>688</v>
      </c>
      <c r="B689" s="16" t="s">
        <v>1641</v>
      </c>
      <c r="C689" s="16" t="str">
        <f>"V4005352523001"</f>
        <v>V4005352523001</v>
      </c>
      <c r="D689" s="16" t="s">
        <v>4017</v>
      </c>
      <c r="E689" s="16" t="s">
        <v>4005</v>
      </c>
      <c r="F689" s="21">
        <v>9780071833479</v>
      </c>
      <c r="G689" s="16" t="s">
        <v>4006</v>
      </c>
      <c r="H689" s="16" t="s">
        <v>13</v>
      </c>
      <c r="I689" s="16">
        <v>2014</v>
      </c>
      <c r="J689" s="16" t="s">
        <v>4007</v>
      </c>
      <c r="K689" s="16" t="s">
        <v>28</v>
      </c>
      <c r="L689" s="16" t="s">
        <v>15</v>
      </c>
      <c r="M689" s="16" t="s">
        <v>4018</v>
      </c>
      <c r="N689" s="16"/>
      <c r="O689" s="16"/>
    </row>
    <row r="690" spans="1:15" x14ac:dyDescent="0.3">
      <c r="A690" s="16">
        <v>689</v>
      </c>
      <c r="B690" s="16" t="s">
        <v>1641</v>
      </c>
      <c r="C690" s="16" t="str">
        <f>"V4005352524001"</f>
        <v>V4005352524001</v>
      </c>
      <c r="D690" s="16" t="s">
        <v>4019</v>
      </c>
      <c r="E690" s="16" t="s">
        <v>4005</v>
      </c>
      <c r="F690" s="21">
        <v>9780071833479</v>
      </c>
      <c r="G690" s="16" t="s">
        <v>4006</v>
      </c>
      <c r="H690" s="16" t="s">
        <v>13</v>
      </c>
      <c r="I690" s="16">
        <v>2014</v>
      </c>
      <c r="J690" s="16" t="s">
        <v>4007</v>
      </c>
      <c r="K690" s="16" t="s">
        <v>28</v>
      </c>
      <c r="L690" s="16" t="s">
        <v>15</v>
      </c>
      <c r="M690" s="16" t="s">
        <v>4020</v>
      </c>
      <c r="N690" s="16"/>
      <c r="O690" s="16"/>
    </row>
    <row r="691" spans="1:15" x14ac:dyDescent="0.3">
      <c r="A691" s="16">
        <v>690</v>
      </c>
      <c r="B691" s="16" t="s">
        <v>1641</v>
      </c>
      <c r="C691" s="16" t="str">
        <f>"V4005352525001"</f>
        <v>V4005352525001</v>
      </c>
      <c r="D691" s="16" t="s">
        <v>4021</v>
      </c>
      <c r="E691" s="16" t="s">
        <v>4005</v>
      </c>
      <c r="F691" s="21">
        <v>9780071833479</v>
      </c>
      <c r="G691" s="16" t="s">
        <v>4006</v>
      </c>
      <c r="H691" s="16" t="s">
        <v>13</v>
      </c>
      <c r="I691" s="16">
        <v>2014</v>
      </c>
      <c r="J691" s="16" t="s">
        <v>4007</v>
      </c>
      <c r="K691" s="16" t="s">
        <v>28</v>
      </c>
      <c r="L691" s="16" t="s">
        <v>15</v>
      </c>
      <c r="M691" s="16" t="s">
        <v>4022</v>
      </c>
      <c r="N691" s="16"/>
      <c r="O691" s="16"/>
    </row>
    <row r="692" spans="1:15" x14ac:dyDescent="0.3">
      <c r="A692" s="16">
        <v>691</v>
      </c>
      <c r="B692" s="16" t="s">
        <v>1641</v>
      </c>
      <c r="C692" s="16" t="str">
        <f>"V4005352526001"</f>
        <v>V4005352526001</v>
      </c>
      <c r="D692" s="16" t="s">
        <v>4023</v>
      </c>
      <c r="E692" s="16" t="s">
        <v>4005</v>
      </c>
      <c r="F692" s="21">
        <v>9780071833479</v>
      </c>
      <c r="G692" s="16" t="s">
        <v>4006</v>
      </c>
      <c r="H692" s="16" t="s">
        <v>13</v>
      </c>
      <c r="I692" s="16">
        <v>2014</v>
      </c>
      <c r="J692" s="16" t="s">
        <v>4007</v>
      </c>
      <c r="K692" s="16" t="s">
        <v>28</v>
      </c>
      <c r="L692" s="16" t="s">
        <v>15</v>
      </c>
      <c r="M692" s="16" t="s">
        <v>4024</v>
      </c>
      <c r="N692" s="16"/>
      <c r="O692" s="16"/>
    </row>
    <row r="693" spans="1:15" x14ac:dyDescent="0.3">
      <c r="A693" s="16">
        <v>692</v>
      </c>
      <c r="B693" s="16" t="s">
        <v>1641</v>
      </c>
      <c r="C693" s="16" t="str">
        <f>"V4005352527001"</f>
        <v>V4005352527001</v>
      </c>
      <c r="D693" s="16" t="s">
        <v>4025</v>
      </c>
      <c r="E693" s="16" t="s">
        <v>4005</v>
      </c>
      <c r="F693" s="21">
        <v>9780071833479</v>
      </c>
      <c r="G693" s="16" t="s">
        <v>4006</v>
      </c>
      <c r="H693" s="16" t="s">
        <v>13</v>
      </c>
      <c r="I693" s="16">
        <v>2014</v>
      </c>
      <c r="J693" s="16" t="s">
        <v>4007</v>
      </c>
      <c r="K693" s="16" t="s">
        <v>28</v>
      </c>
      <c r="L693" s="16" t="s">
        <v>15</v>
      </c>
      <c r="M693" s="16" t="s">
        <v>4026</v>
      </c>
      <c r="N693" s="16"/>
      <c r="O693" s="16"/>
    </row>
    <row r="694" spans="1:15" x14ac:dyDescent="0.3">
      <c r="A694" s="16">
        <v>693</v>
      </c>
      <c r="B694" s="16" t="s">
        <v>1641</v>
      </c>
      <c r="C694" s="16" t="str">
        <f>"V4005352528001"</f>
        <v>V4005352528001</v>
      </c>
      <c r="D694" s="16" t="s">
        <v>4027</v>
      </c>
      <c r="E694" s="16" t="s">
        <v>4005</v>
      </c>
      <c r="F694" s="21">
        <v>9780071833479</v>
      </c>
      <c r="G694" s="16" t="s">
        <v>4006</v>
      </c>
      <c r="H694" s="16" t="s">
        <v>13</v>
      </c>
      <c r="I694" s="16">
        <v>2014</v>
      </c>
      <c r="J694" s="16" t="s">
        <v>4007</v>
      </c>
      <c r="K694" s="16" t="s">
        <v>28</v>
      </c>
      <c r="L694" s="16" t="s">
        <v>15</v>
      </c>
      <c r="M694" s="16" t="s">
        <v>4028</v>
      </c>
      <c r="N694" s="16"/>
      <c r="O694" s="16"/>
    </row>
    <row r="695" spans="1:15" x14ac:dyDescent="0.3">
      <c r="A695" s="16">
        <v>694</v>
      </c>
      <c r="B695" s="16" t="s">
        <v>1641</v>
      </c>
      <c r="C695" s="16" t="str">
        <f>"V4005352529001"</f>
        <v>V4005352529001</v>
      </c>
      <c r="D695" s="16" t="s">
        <v>4029</v>
      </c>
      <c r="E695" s="16" t="s">
        <v>4005</v>
      </c>
      <c r="F695" s="21">
        <v>9780071833479</v>
      </c>
      <c r="G695" s="16" t="s">
        <v>4006</v>
      </c>
      <c r="H695" s="16" t="s">
        <v>13</v>
      </c>
      <c r="I695" s="16">
        <v>2014</v>
      </c>
      <c r="J695" s="16" t="s">
        <v>4007</v>
      </c>
      <c r="K695" s="16" t="s">
        <v>28</v>
      </c>
      <c r="L695" s="16" t="s">
        <v>15</v>
      </c>
      <c r="M695" s="16" t="s">
        <v>4030</v>
      </c>
      <c r="N695" s="16"/>
      <c r="O695" s="16"/>
    </row>
    <row r="696" spans="1:15" x14ac:dyDescent="0.3">
      <c r="A696" s="16">
        <v>695</v>
      </c>
      <c r="B696" s="16" t="s">
        <v>1641</v>
      </c>
      <c r="C696" s="16" t="str">
        <f>"V4005352530001"</f>
        <v>V4005352530001</v>
      </c>
      <c r="D696" s="16" t="s">
        <v>4031</v>
      </c>
      <c r="E696" s="16" t="s">
        <v>4005</v>
      </c>
      <c r="F696" s="21">
        <v>9780071833479</v>
      </c>
      <c r="G696" s="16" t="s">
        <v>4006</v>
      </c>
      <c r="H696" s="16" t="s">
        <v>13</v>
      </c>
      <c r="I696" s="16">
        <v>2014</v>
      </c>
      <c r="J696" s="16" t="s">
        <v>4007</v>
      </c>
      <c r="K696" s="16" t="s">
        <v>28</v>
      </c>
      <c r="L696" s="16" t="s">
        <v>15</v>
      </c>
      <c r="M696" s="16" t="s">
        <v>4032</v>
      </c>
      <c r="N696" s="16"/>
      <c r="O696" s="16"/>
    </row>
    <row r="697" spans="1:15" x14ac:dyDescent="0.3">
      <c r="A697" s="16">
        <v>696</v>
      </c>
      <c r="B697" s="16" t="s">
        <v>1641</v>
      </c>
      <c r="C697" s="16" t="str">
        <f>"V4005352531001"</f>
        <v>V4005352531001</v>
      </c>
      <c r="D697" s="16" t="s">
        <v>4033</v>
      </c>
      <c r="E697" s="16" t="s">
        <v>4005</v>
      </c>
      <c r="F697" s="21">
        <v>9780071833479</v>
      </c>
      <c r="G697" s="16" t="s">
        <v>4006</v>
      </c>
      <c r="H697" s="16" t="s">
        <v>13</v>
      </c>
      <c r="I697" s="16">
        <v>2014</v>
      </c>
      <c r="J697" s="16" t="s">
        <v>4007</v>
      </c>
      <c r="K697" s="16" t="s">
        <v>28</v>
      </c>
      <c r="L697" s="16" t="s">
        <v>15</v>
      </c>
      <c r="M697" s="16" t="s">
        <v>4034</v>
      </c>
      <c r="N697" s="16"/>
      <c r="O697" s="16"/>
    </row>
    <row r="698" spans="1:15" x14ac:dyDescent="0.3">
      <c r="A698" s="16">
        <v>697</v>
      </c>
      <c r="B698" s="16" t="s">
        <v>1641</v>
      </c>
      <c r="C698" s="16" t="str">
        <f>"V4005352532001"</f>
        <v>V4005352532001</v>
      </c>
      <c r="D698" s="16" t="s">
        <v>4035</v>
      </c>
      <c r="E698" s="16" t="s">
        <v>4005</v>
      </c>
      <c r="F698" s="21">
        <v>9780071833479</v>
      </c>
      <c r="G698" s="16" t="s">
        <v>4006</v>
      </c>
      <c r="H698" s="16" t="s">
        <v>13</v>
      </c>
      <c r="I698" s="16">
        <v>2014</v>
      </c>
      <c r="J698" s="16" t="s">
        <v>4007</v>
      </c>
      <c r="K698" s="16" t="s">
        <v>28</v>
      </c>
      <c r="L698" s="16" t="s">
        <v>15</v>
      </c>
      <c r="M698" s="16" t="s">
        <v>4036</v>
      </c>
      <c r="N698" s="16"/>
      <c r="O698" s="16"/>
    </row>
    <row r="699" spans="1:15" x14ac:dyDescent="0.3">
      <c r="A699" s="16">
        <v>698</v>
      </c>
      <c r="B699" s="16" t="s">
        <v>1641</v>
      </c>
      <c r="C699" s="16" t="str">
        <f>"V4005352533001"</f>
        <v>V4005352533001</v>
      </c>
      <c r="D699" s="16" t="s">
        <v>4037</v>
      </c>
      <c r="E699" s="16" t="s">
        <v>4005</v>
      </c>
      <c r="F699" s="21">
        <v>9780071833479</v>
      </c>
      <c r="G699" s="16" t="s">
        <v>4006</v>
      </c>
      <c r="H699" s="16" t="s">
        <v>13</v>
      </c>
      <c r="I699" s="16">
        <v>2014</v>
      </c>
      <c r="J699" s="16" t="s">
        <v>4007</v>
      </c>
      <c r="K699" s="16" t="s">
        <v>28</v>
      </c>
      <c r="L699" s="16" t="s">
        <v>15</v>
      </c>
      <c r="M699" s="16" t="s">
        <v>4038</v>
      </c>
      <c r="N699" s="16"/>
      <c r="O699" s="16"/>
    </row>
    <row r="700" spans="1:15" x14ac:dyDescent="0.3">
      <c r="A700" s="16">
        <v>699</v>
      </c>
      <c r="B700" s="16" t="s">
        <v>1641</v>
      </c>
      <c r="C700" s="16" t="str">
        <f>"V4124557771001"</f>
        <v>V4124557771001</v>
      </c>
      <c r="D700" s="16" t="s">
        <v>4039</v>
      </c>
      <c r="E700" s="16" t="s">
        <v>718</v>
      </c>
      <c r="F700" s="21">
        <v>9780071741354</v>
      </c>
      <c r="G700" s="16" t="s">
        <v>667</v>
      </c>
      <c r="H700" s="16" t="s">
        <v>13</v>
      </c>
      <c r="I700" s="16">
        <v>2013</v>
      </c>
      <c r="J700" s="16" t="s">
        <v>4040</v>
      </c>
      <c r="K700" s="16" t="s">
        <v>3624</v>
      </c>
      <c r="L700" s="16" t="s">
        <v>15</v>
      </c>
      <c r="M700" s="16" t="s">
        <v>4041</v>
      </c>
      <c r="N700" s="16"/>
      <c r="O700" s="16"/>
    </row>
    <row r="701" spans="1:15" x14ac:dyDescent="0.3">
      <c r="A701" s="16">
        <v>700</v>
      </c>
      <c r="B701" s="16" t="s">
        <v>1641</v>
      </c>
      <c r="C701" s="16" t="str">
        <f>"V4124557772001"</f>
        <v>V4124557772001</v>
      </c>
      <c r="D701" s="16" t="s">
        <v>4042</v>
      </c>
      <c r="E701" s="16" t="s">
        <v>718</v>
      </c>
      <c r="F701" s="21">
        <v>9780071741354</v>
      </c>
      <c r="G701" s="16" t="s">
        <v>667</v>
      </c>
      <c r="H701" s="16" t="s">
        <v>13</v>
      </c>
      <c r="I701" s="16">
        <v>2014</v>
      </c>
      <c r="J701" s="16" t="s">
        <v>4043</v>
      </c>
      <c r="K701" s="16" t="s">
        <v>4044</v>
      </c>
      <c r="L701" s="16" t="s">
        <v>15</v>
      </c>
      <c r="M701" s="16" t="s">
        <v>4045</v>
      </c>
      <c r="N701" s="16"/>
      <c r="O701" s="16"/>
    </row>
    <row r="702" spans="1:15" x14ac:dyDescent="0.3">
      <c r="A702" s="16">
        <v>701</v>
      </c>
      <c r="B702" s="16" t="s">
        <v>1641</v>
      </c>
      <c r="C702" s="16" t="str">
        <f>"V4124557773001"</f>
        <v>V4124557773001</v>
      </c>
      <c r="D702" s="16" t="s">
        <v>4046</v>
      </c>
      <c r="E702" s="16" t="s">
        <v>718</v>
      </c>
      <c r="F702" s="21">
        <v>9780071741354</v>
      </c>
      <c r="G702" s="16" t="s">
        <v>667</v>
      </c>
      <c r="H702" s="16" t="s">
        <v>13</v>
      </c>
      <c r="I702" s="16">
        <v>2014</v>
      </c>
      <c r="J702" s="16" t="s">
        <v>4047</v>
      </c>
      <c r="K702" s="16" t="s">
        <v>2186</v>
      </c>
      <c r="L702" s="16" t="s">
        <v>15</v>
      </c>
      <c r="M702" s="16" t="s">
        <v>4048</v>
      </c>
      <c r="N702" s="16"/>
      <c r="O702" s="16"/>
    </row>
    <row r="703" spans="1:15" x14ac:dyDescent="0.3">
      <c r="A703" s="16">
        <v>702</v>
      </c>
      <c r="B703" s="16" t="s">
        <v>1641</v>
      </c>
      <c r="C703" s="16" t="str">
        <f>"V4124557774001"</f>
        <v>V4124557774001</v>
      </c>
      <c r="D703" s="16" t="s">
        <v>4049</v>
      </c>
      <c r="E703" s="16" t="s">
        <v>718</v>
      </c>
      <c r="F703" s="21">
        <v>9780071741354</v>
      </c>
      <c r="G703" s="16" t="s">
        <v>667</v>
      </c>
      <c r="H703" s="16" t="s">
        <v>13</v>
      </c>
      <c r="I703" s="16">
        <v>2013</v>
      </c>
      <c r="J703" s="16" t="s">
        <v>4050</v>
      </c>
      <c r="K703" s="16" t="s">
        <v>2836</v>
      </c>
      <c r="L703" s="16" t="s">
        <v>15</v>
      </c>
      <c r="M703" s="16" t="s">
        <v>4051</v>
      </c>
      <c r="N703" s="16"/>
      <c r="O703" s="16"/>
    </row>
    <row r="704" spans="1:15" x14ac:dyDescent="0.3">
      <c r="A704" s="16">
        <v>703</v>
      </c>
      <c r="B704" s="16" t="s">
        <v>1641</v>
      </c>
      <c r="C704" s="16" t="str">
        <f>"V4124557775001"</f>
        <v>V4124557775001</v>
      </c>
      <c r="D704" s="16" t="s">
        <v>4052</v>
      </c>
      <c r="E704" s="16" t="s">
        <v>718</v>
      </c>
      <c r="F704" s="21">
        <v>9780071741354</v>
      </c>
      <c r="G704" s="16" t="s">
        <v>667</v>
      </c>
      <c r="H704" s="16" t="s">
        <v>13</v>
      </c>
      <c r="I704" s="16">
        <v>2013</v>
      </c>
      <c r="J704" s="16" t="s">
        <v>4053</v>
      </c>
      <c r="K704" s="16" t="s">
        <v>4054</v>
      </c>
      <c r="L704" s="16" t="s">
        <v>15</v>
      </c>
      <c r="M704" s="16" t="s">
        <v>4055</v>
      </c>
      <c r="N704" s="16"/>
      <c r="O704" s="16"/>
    </row>
    <row r="705" spans="1:15" x14ac:dyDescent="0.3">
      <c r="A705" s="16">
        <v>704</v>
      </c>
      <c r="B705" s="16" t="s">
        <v>1641</v>
      </c>
      <c r="C705" s="16" t="str">
        <f>"V4124557776001"</f>
        <v>V4124557776001</v>
      </c>
      <c r="D705" s="16" t="s">
        <v>4056</v>
      </c>
      <c r="E705" s="16" t="s">
        <v>718</v>
      </c>
      <c r="F705" s="21">
        <v>9780071741354</v>
      </c>
      <c r="G705" s="16" t="s">
        <v>667</v>
      </c>
      <c r="H705" s="16" t="s">
        <v>13</v>
      </c>
      <c r="I705" s="16">
        <v>2013</v>
      </c>
      <c r="J705" s="16" t="s">
        <v>4057</v>
      </c>
      <c r="K705" s="16" t="s">
        <v>4054</v>
      </c>
      <c r="L705" s="16" t="s">
        <v>15</v>
      </c>
      <c r="M705" s="16" t="s">
        <v>4058</v>
      </c>
      <c r="N705" s="16"/>
      <c r="O705" s="16"/>
    </row>
    <row r="706" spans="1:15" x14ac:dyDescent="0.3">
      <c r="A706" s="16">
        <v>705</v>
      </c>
      <c r="B706" s="16" t="s">
        <v>1641</v>
      </c>
      <c r="C706" s="16" t="str">
        <f>"V4124557777001"</f>
        <v>V4124557777001</v>
      </c>
      <c r="D706" s="16" t="s">
        <v>4059</v>
      </c>
      <c r="E706" s="16" t="s">
        <v>718</v>
      </c>
      <c r="F706" s="21">
        <v>9780071741354</v>
      </c>
      <c r="G706" s="16" t="s">
        <v>667</v>
      </c>
      <c r="H706" s="16" t="s">
        <v>13</v>
      </c>
      <c r="I706" s="16">
        <v>2013</v>
      </c>
      <c r="J706" s="16" t="s">
        <v>4060</v>
      </c>
      <c r="K706" s="16" t="s">
        <v>2220</v>
      </c>
      <c r="L706" s="16" t="s">
        <v>15</v>
      </c>
      <c r="M706" s="16" t="s">
        <v>4061</v>
      </c>
      <c r="N706" s="16"/>
      <c r="O706" s="16"/>
    </row>
    <row r="707" spans="1:15" x14ac:dyDescent="0.3">
      <c r="A707" s="16">
        <v>706</v>
      </c>
      <c r="B707" s="16" t="s">
        <v>1641</v>
      </c>
      <c r="C707" s="16" t="str">
        <f>"V4124557778001"</f>
        <v>V4124557778001</v>
      </c>
      <c r="D707" s="16" t="s">
        <v>4062</v>
      </c>
      <c r="E707" s="16" t="s">
        <v>718</v>
      </c>
      <c r="F707" s="21">
        <v>9780071741354</v>
      </c>
      <c r="G707" s="16" t="s">
        <v>667</v>
      </c>
      <c r="H707" s="16" t="s">
        <v>13</v>
      </c>
      <c r="I707" s="16">
        <v>2013</v>
      </c>
      <c r="J707" s="16" t="s">
        <v>4063</v>
      </c>
      <c r="K707" s="16" t="s">
        <v>4064</v>
      </c>
      <c r="L707" s="16" t="s">
        <v>15</v>
      </c>
      <c r="M707" s="16" t="s">
        <v>4065</v>
      </c>
      <c r="N707" s="16"/>
      <c r="O707" s="16"/>
    </row>
    <row r="708" spans="1:15" x14ac:dyDescent="0.3">
      <c r="A708" s="16">
        <v>707</v>
      </c>
      <c r="B708" s="16" t="s">
        <v>1641</v>
      </c>
      <c r="C708" s="16" t="str">
        <f>"V4124557779001"</f>
        <v>V4124557779001</v>
      </c>
      <c r="D708" s="16" t="s">
        <v>4066</v>
      </c>
      <c r="E708" s="16" t="s">
        <v>718</v>
      </c>
      <c r="F708" s="21">
        <v>9780071741354</v>
      </c>
      <c r="G708" s="16" t="s">
        <v>667</v>
      </c>
      <c r="H708" s="16" t="s">
        <v>13</v>
      </c>
      <c r="I708" s="16">
        <v>2013</v>
      </c>
      <c r="J708" s="16" t="s">
        <v>4067</v>
      </c>
      <c r="K708" s="16" t="s">
        <v>3346</v>
      </c>
      <c r="L708" s="16" t="s">
        <v>15</v>
      </c>
      <c r="M708" s="16" t="s">
        <v>4068</v>
      </c>
      <c r="N708" s="16"/>
      <c r="O708" s="16"/>
    </row>
    <row r="709" spans="1:15" x14ac:dyDescent="0.3">
      <c r="A709" s="16">
        <v>708</v>
      </c>
      <c r="B709" s="16" t="s">
        <v>1641</v>
      </c>
      <c r="C709" s="16" t="str">
        <f>"V4160983784001"</f>
        <v>V4160983784001</v>
      </c>
      <c r="D709" s="16" t="s">
        <v>4069</v>
      </c>
      <c r="E709" s="16" t="s">
        <v>4070</v>
      </c>
      <c r="F709" s="19" t="s">
        <v>4071</v>
      </c>
      <c r="G709" s="16" t="s">
        <v>983</v>
      </c>
      <c r="H709" s="16" t="s">
        <v>13</v>
      </c>
      <c r="I709" s="16">
        <v>2015</v>
      </c>
      <c r="J709" s="16" t="s">
        <v>4072</v>
      </c>
      <c r="K709" s="16" t="s">
        <v>1954</v>
      </c>
      <c r="L709" s="16" t="s">
        <v>15</v>
      </c>
      <c r="M709" s="16" t="s">
        <v>4073</v>
      </c>
      <c r="N709" s="16"/>
      <c r="O709" s="16"/>
    </row>
    <row r="710" spans="1:15" x14ac:dyDescent="0.3">
      <c r="A710" s="16">
        <v>709</v>
      </c>
      <c r="B710" s="16" t="s">
        <v>1641</v>
      </c>
      <c r="C710" s="16" t="str">
        <f>"V4160983785001"</f>
        <v>V4160983785001</v>
      </c>
      <c r="D710" s="16" t="s">
        <v>4074</v>
      </c>
      <c r="E710" s="16" t="s">
        <v>4070</v>
      </c>
      <c r="F710" s="19" t="s">
        <v>4071</v>
      </c>
      <c r="G710" s="16" t="s">
        <v>983</v>
      </c>
      <c r="H710" s="16" t="s">
        <v>13</v>
      </c>
      <c r="I710" s="16">
        <v>2015</v>
      </c>
      <c r="J710" s="16" t="s">
        <v>4075</v>
      </c>
      <c r="K710" s="16" t="s">
        <v>4076</v>
      </c>
      <c r="L710" s="16" t="s">
        <v>15</v>
      </c>
      <c r="M710" s="16" t="s">
        <v>4077</v>
      </c>
      <c r="N710" s="16"/>
      <c r="O710" s="16"/>
    </row>
    <row r="711" spans="1:15" x14ac:dyDescent="0.3">
      <c r="A711" s="16">
        <v>710</v>
      </c>
      <c r="B711" s="16" t="s">
        <v>1641</v>
      </c>
      <c r="C711" s="16" t="str">
        <f>"V4160983786001"</f>
        <v>V4160983786001</v>
      </c>
      <c r="D711" s="16" t="s">
        <v>4078</v>
      </c>
      <c r="E711" s="16" t="s">
        <v>4070</v>
      </c>
      <c r="F711" s="19" t="s">
        <v>4071</v>
      </c>
      <c r="G711" s="16" t="s">
        <v>983</v>
      </c>
      <c r="H711" s="16" t="s">
        <v>13</v>
      </c>
      <c r="I711" s="16">
        <v>2015</v>
      </c>
      <c r="J711" s="16" t="s">
        <v>4079</v>
      </c>
      <c r="K711" s="16" t="s">
        <v>1954</v>
      </c>
      <c r="L711" s="16" t="s">
        <v>15</v>
      </c>
      <c r="M711" s="16" t="s">
        <v>4080</v>
      </c>
      <c r="N711" s="16"/>
      <c r="O711" s="16"/>
    </row>
    <row r="712" spans="1:15" x14ac:dyDescent="0.3">
      <c r="A712" s="16">
        <v>711</v>
      </c>
      <c r="B712" s="16" t="s">
        <v>1641</v>
      </c>
      <c r="C712" s="16" t="str">
        <f>"V4160983787001"</f>
        <v>V4160983787001</v>
      </c>
      <c r="D712" s="16" t="s">
        <v>4081</v>
      </c>
      <c r="E712" s="16" t="s">
        <v>4070</v>
      </c>
      <c r="F712" s="19" t="s">
        <v>4071</v>
      </c>
      <c r="G712" s="16" t="s">
        <v>983</v>
      </c>
      <c r="H712" s="16" t="s">
        <v>13</v>
      </c>
      <c r="I712" s="16">
        <v>2015</v>
      </c>
      <c r="J712" s="16" t="s">
        <v>4082</v>
      </c>
      <c r="K712" s="16" t="s">
        <v>1954</v>
      </c>
      <c r="L712" s="16" t="s">
        <v>15</v>
      </c>
      <c r="M712" s="16" t="s">
        <v>4083</v>
      </c>
      <c r="N712" s="16"/>
      <c r="O712" s="16"/>
    </row>
    <row r="713" spans="1:15" x14ac:dyDescent="0.3">
      <c r="A713" s="16">
        <v>712</v>
      </c>
      <c r="B713" s="16" t="s">
        <v>1641</v>
      </c>
      <c r="C713" s="16" t="str">
        <f>"V4160983788001"</f>
        <v>V4160983788001</v>
      </c>
      <c r="D713" s="16" t="s">
        <v>4084</v>
      </c>
      <c r="E713" s="16" t="s">
        <v>4070</v>
      </c>
      <c r="F713" s="19" t="s">
        <v>4071</v>
      </c>
      <c r="G713" s="16" t="s">
        <v>983</v>
      </c>
      <c r="H713" s="16" t="s">
        <v>13</v>
      </c>
      <c r="I713" s="16">
        <v>2015</v>
      </c>
      <c r="J713" s="16" t="s">
        <v>4085</v>
      </c>
      <c r="K713" s="16" t="s">
        <v>293</v>
      </c>
      <c r="L713" s="16" t="s">
        <v>15</v>
      </c>
      <c r="M713" s="16" t="s">
        <v>4086</v>
      </c>
      <c r="N713" s="16"/>
      <c r="O713" s="16"/>
    </row>
    <row r="714" spans="1:15" x14ac:dyDescent="0.3">
      <c r="A714" s="16">
        <v>713</v>
      </c>
      <c r="B714" s="16" t="s">
        <v>1641</v>
      </c>
      <c r="C714" s="16" t="str">
        <f>"V4160983789001"</f>
        <v>V4160983789001</v>
      </c>
      <c r="D714" s="16" t="s">
        <v>4087</v>
      </c>
      <c r="E714" s="16" t="s">
        <v>4070</v>
      </c>
      <c r="F714" s="19" t="s">
        <v>4071</v>
      </c>
      <c r="G714" s="16" t="s">
        <v>983</v>
      </c>
      <c r="H714" s="16" t="s">
        <v>13</v>
      </c>
      <c r="I714" s="16">
        <v>2015</v>
      </c>
      <c r="J714" s="16" t="s">
        <v>4088</v>
      </c>
      <c r="K714" s="16" t="s">
        <v>4089</v>
      </c>
      <c r="L714" s="16" t="s">
        <v>15</v>
      </c>
      <c r="M714" s="16" t="s">
        <v>4090</v>
      </c>
      <c r="N714" s="16"/>
      <c r="O714" s="16"/>
    </row>
    <row r="715" spans="1:15" x14ac:dyDescent="0.3">
      <c r="A715" s="16">
        <v>714</v>
      </c>
      <c r="B715" s="16" t="s">
        <v>1641</v>
      </c>
      <c r="C715" s="16" t="str">
        <f>"V4160983790001"</f>
        <v>V4160983790001</v>
      </c>
      <c r="D715" s="16" t="s">
        <v>4091</v>
      </c>
      <c r="E715" s="16" t="s">
        <v>4070</v>
      </c>
      <c r="F715" s="19" t="s">
        <v>4071</v>
      </c>
      <c r="G715" s="16" t="s">
        <v>983</v>
      </c>
      <c r="H715" s="16" t="s">
        <v>13</v>
      </c>
      <c r="I715" s="16">
        <v>2015</v>
      </c>
      <c r="J715" s="16" t="s">
        <v>4092</v>
      </c>
      <c r="K715" s="16" t="s">
        <v>4093</v>
      </c>
      <c r="L715" s="16" t="s">
        <v>15</v>
      </c>
      <c r="M715" s="16" t="s">
        <v>4094</v>
      </c>
      <c r="N715" s="16"/>
      <c r="O715" s="16"/>
    </row>
    <row r="716" spans="1:15" x14ac:dyDescent="0.3">
      <c r="A716" s="16">
        <v>715</v>
      </c>
      <c r="B716" s="16" t="s">
        <v>1641</v>
      </c>
      <c r="C716" s="16" t="str">
        <f>"V4160983791001"</f>
        <v>V4160983791001</v>
      </c>
      <c r="D716" s="16" t="s">
        <v>4095</v>
      </c>
      <c r="E716" s="16" t="s">
        <v>4070</v>
      </c>
      <c r="F716" s="19" t="s">
        <v>4071</v>
      </c>
      <c r="G716" s="16" t="s">
        <v>983</v>
      </c>
      <c r="H716" s="16" t="s">
        <v>13</v>
      </c>
      <c r="I716" s="16">
        <v>2015</v>
      </c>
      <c r="J716" s="16" t="s">
        <v>4096</v>
      </c>
      <c r="K716" s="16" t="s">
        <v>4097</v>
      </c>
      <c r="L716" s="16" t="s">
        <v>15</v>
      </c>
      <c r="M716" s="16" t="s">
        <v>4098</v>
      </c>
      <c r="N716" s="16"/>
      <c r="O716" s="16"/>
    </row>
    <row r="717" spans="1:15" x14ac:dyDescent="0.3">
      <c r="A717" s="16">
        <v>716</v>
      </c>
      <c r="B717" s="16" t="s">
        <v>1641</v>
      </c>
      <c r="C717" s="16" t="str">
        <f>"V4160983792001"</f>
        <v>V4160983792001</v>
      </c>
      <c r="D717" s="16" t="s">
        <v>4099</v>
      </c>
      <c r="E717" s="16" t="s">
        <v>4070</v>
      </c>
      <c r="F717" s="19" t="s">
        <v>4071</v>
      </c>
      <c r="G717" s="16" t="s">
        <v>983</v>
      </c>
      <c r="H717" s="16" t="s">
        <v>13</v>
      </c>
      <c r="I717" s="16">
        <v>2015</v>
      </c>
      <c r="J717" s="16" t="s">
        <v>4100</v>
      </c>
      <c r="K717" s="16" t="s">
        <v>4101</v>
      </c>
      <c r="L717" s="16" t="s">
        <v>15</v>
      </c>
      <c r="M717" s="16" t="s">
        <v>4102</v>
      </c>
      <c r="N717" s="16"/>
      <c r="O717" s="16"/>
    </row>
    <row r="718" spans="1:15" x14ac:dyDescent="0.3">
      <c r="A718" s="16">
        <v>717</v>
      </c>
      <c r="B718" s="16" t="s">
        <v>1641</v>
      </c>
      <c r="C718" s="16" t="str">
        <f>"V4160983793001"</f>
        <v>V4160983793001</v>
      </c>
      <c r="D718" s="16" t="s">
        <v>4103</v>
      </c>
      <c r="E718" s="16" t="s">
        <v>4070</v>
      </c>
      <c r="F718" s="19" t="s">
        <v>4071</v>
      </c>
      <c r="G718" s="16" t="s">
        <v>983</v>
      </c>
      <c r="H718" s="16" t="s">
        <v>13</v>
      </c>
      <c r="I718" s="16">
        <v>2015</v>
      </c>
      <c r="J718" s="16" t="s">
        <v>4104</v>
      </c>
      <c r="K718" s="16" t="s">
        <v>4105</v>
      </c>
      <c r="L718" s="16" t="s">
        <v>15</v>
      </c>
      <c r="M718" s="16" t="s">
        <v>4106</v>
      </c>
      <c r="N718" s="16"/>
      <c r="O718" s="16"/>
    </row>
    <row r="719" spans="1:15" x14ac:dyDescent="0.3">
      <c r="A719" s="16">
        <v>718</v>
      </c>
      <c r="B719" s="16" t="s">
        <v>1641</v>
      </c>
      <c r="C719" s="16" t="str">
        <f>"V4160983794001"</f>
        <v>V4160983794001</v>
      </c>
      <c r="D719" s="16" t="s">
        <v>4107</v>
      </c>
      <c r="E719" s="16" t="s">
        <v>4070</v>
      </c>
      <c r="F719" s="19" t="s">
        <v>4071</v>
      </c>
      <c r="G719" s="16" t="s">
        <v>983</v>
      </c>
      <c r="H719" s="16" t="s">
        <v>13</v>
      </c>
      <c r="I719" s="16">
        <v>2015</v>
      </c>
      <c r="J719" s="16" t="s">
        <v>4108</v>
      </c>
      <c r="K719" s="16" t="s">
        <v>1926</v>
      </c>
      <c r="L719" s="16" t="s">
        <v>15</v>
      </c>
      <c r="M719" s="16" t="s">
        <v>4109</v>
      </c>
      <c r="N719" s="16"/>
      <c r="O719" s="16"/>
    </row>
    <row r="720" spans="1:15" x14ac:dyDescent="0.3">
      <c r="A720" s="16">
        <v>719</v>
      </c>
      <c r="B720" s="16" t="s">
        <v>1641</v>
      </c>
      <c r="C720" s="16" t="str">
        <f>"V4160983795001"</f>
        <v>V4160983795001</v>
      </c>
      <c r="D720" s="16" t="s">
        <v>4110</v>
      </c>
      <c r="E720" s="16" t="s">
        <v>4070</v>
      </c>
      <c r="F720" s="19" t="s">
        <v>4071</v>
      </c>
      <c r="G720" s="16" t="s">
        <v>983</v>
      </c>
      <c r="H720" s="16" t="s">
        <v>13</v>
      </c>
      <c r="I720" s="16">
        <v>2015</v>
      </c>
      <c r="J720" s="16" t="s">
        <v>4111</v>
      </c>
      <c r="K720" s="16" t="s">
        <v>18</v>
      </c>
      <c r="L720" s="16" t="s">
        <v>15</v>
      </c>
      <c r="M720" s="16" t="s">
        <v>4112</v>
      </c>
      <c r="N720" s="16"/>
      <c r="O720" s="16"/>
    </row>
    <row r="721" spans="1:15" x14ac:dyDescent="0.3">
      <c r="A721" s="16">
        <v>720</v>
      </c>
      <c r="B721" s="16" t="s">
        <v>1641</v>
      </c>
      <c r="C721" s="16" t="str">
        <f>"V4160983796001"</f>
        <v>V4160983796001</v>
      </c>
      <c r="D721" s="16" t="s">
        <v>4113</v>
      </c>
      <c r="E721" s="16" t="s">
        <v>4070</v>
      </c>
      <c r="F721" s="19" t="s">
        <v>4071</v>
      </c>
      <c r="G721" s="16" t="s">
        <v>983</v>
      </c>
      <c r="H721" s="16" t="s">
        <v>13</v>
      </c>
      <c r="I721" s="16">
        <v>2015</v>
      </c>
      <c r="J721" s="16" t="s">
        <v>4114</v>
      </c>
      <c r="K721" s="16" t="s">
        <v>4115</v>
      </c>
      <c r="L721" s="16" t="s">
        <v>15</v>
      </c>
      <c r="M721" s="16" t="s">
        <v>4116</v>
      </c>
      <c r="N721" s="16"/>
      <c r="O721" s="16"/>
    </row>
    <row r="722" spans="1:15" x14ac:dyDescent="0.3">
      <c r="A722" s="16">
        <v>721</v>
      </c>
      <c r="B722" s="16" t="s">
        <v>1641</v>
      </c>
      <c r="C722" s="16" t="str">
        <f>"V4160983797001"</f>
        <v>V4160983797001</v>
      </c>
      <c r="D722" s="16" t="s">
        <v>4117</v>
      </c>
      <c r="E722" s="16" t="s">
        <v>4070</v>
      </c>
      <c r="F722" s="19" t="s">
        <v>4071</v>
      </c>
      <c r="G722" s="16" t="s">
        <v>983</v>
      </c>
      <c r="H722" s="16" t="s">
        <v>13</v>
      </c>
      <c r="I722" s="16">
        <v>2015</v>
      </c>
      <c r="J722" s="16" t="s">
        <v>4118</v>
      </c>
      <c r="K722" s="16" t="s">
        <v>4097</v>
      </c>
      <c r="L722" s="16" t="s">
        <v>15</v>
      </c>
      <c r="M722" s="16" t="s">
        <v>4119</v>
      </c>
      <c r="N722" s="16"/>
      <c r="O722" s="16"/>
    </row>
    <row r="723" spans="1:15" x14ac:dyDescent="0.3">
      <c r="A723" s="16">
        <v>722</v>
      </c>
      <c r="B723" s="16" t="s">
        <v>1641</v>
      </c>
      <c r="C723" s="16" t="str">
        <f>"V4160983798001"</f>
        <v>V4160983798001</v>
      </c>
      <c r="D723" s="16" t="s">
        <v>4120</v>
      </c>
      <c r="E723" s="16" t="s">
        <v>4070</v>
      </c>
      <c r="F723" s="19" t="s">
        <v>4071</v>
      </c>
      <c r="G723" s="16" t="s">
        <v>983</v>
      </c>
      <c r="H723" s="16" t="s">
        <v>13</v>
      </c>
      <c r="I723" s="16">
        <v>2015</v>
      </c>
      <c r="J723" s="16" t="s">
        <v>4121</v>
      </c>
      <c r="K723" s="16" t="s">
        <v>4122</v>
      </c>
      <c r="L723" s="16" t="s">
        <v>15</v>
      </c>
      <c r="M723" s="16" t="s">
        <v>4123</v>
      </c>
      <c r="N723" s="16"/>
      <c r="O723" s="16"/>
    </row>
    <row r="724" spans="1:15" x14ac:dyDescent="0.3">
      <c r="A724" s="16">
        <v>723</v>
      </c>
      <c r="B724" s="16" t="s">
        <v>1641</v>
      </c>
      <c r="C724" s="16" t="str">
        <f>"V4160983799001"</f>
        <v>V4160983799001</v>
      </c>
      <c r="D724" s="16" t="s">
        <v>4124</v>
      </c>
      <c r="E724" s="16" t="s">
        <v>4070</v>
      </c>
      <c r="F724" s="19" t="s">
        <v>4071</v>
      </c>
      <c r="G724" s="16" t="s">
        <v>983</v>
      </c>
      <c r="H724" s="16" t="s">
        <v>13</v>
      </c>
      <c r="I724" s="16">
        <v>2015</v>
      </c>
      <c r="J724" s="16" t="s">
        <v>4125</v>
      </c>
      <c r="K724" s="16" t="s">
        <v>4126</v>
      </c>
      <c r="L724" s="16" t="s">
        <v>15</v>
      </c>
      <c r="M724" s="16" t="s">
        <v>4127</v>
      </c>
      <c r="N724" s="16"/>
      <c r="O724" s="16"/>
    </row>
    <row r="725" spans="1:15" x14ac:dyDescent="0.3">
      <c r="A725" s="16">
        <v>724</v>
      </c>
      <c r="B725" s="16" t="s">
        <v>1641</v>
      </c>
      <c r="C725" s="16" t="str">
        <f>"V4160983800001"</f>
        <v>V4160983800001</v>
      </c>
      <c r="D725" s="16" t="s">
        <v>4128</v>
      </c>
      <c r="E725" s="16" t="s">
        <v>4070</v>
      </c>
      <c r="F725" s="19" t="s">
        <v>4071</v>
      </c>
      <c r="G725" s="16" t="s">
        <v>983</v>
      </c>
      <c r="H725" s="16" t="s">
        <v>13</v>
      </c>
      <c r="I725" s="16">
        <v>2015</v>
      </c>
      <c r="J725" s="16" t="s">
        <v>4129</v>
      </c>
      <c r="K725" s="16" t="s">
        <v>4130</v>
      </c>
      <c r="L725" s="16" t="s">
        <v>15</v>
      </c>
      <c r="M725" s="16" t="s">
        <v>4131</v>
      </c>
      <c r="N725" s="16"/>
      <c r="O725" s="16"/>
    </row>
    <row r="726" spans="1:15" x14ac:dyDescent="0.3">
      <c r="A726" s="16">
        <v>725</v>
      </c>
      <c r="B726" s="16" t="s">
        <v>1641</v>
      </c>
      <c r="C726" s="16" t="str">
        <f>"V4160983801001"</f>
        <v>V4160983801001</v>
      </c>
      <c r="D726" s="16" t="s">
        <v>4132</v>
      </c>
      <c r="E726" s="16" t="s">
        <v>4070</v>
      </c>
      <c r="F726" s="19" t="s">
        <v>4071</v>
      </c>
      <c r="G726" s="16" t="s">
        <v>983</v>
      </c>
      <c r="H726" s="16" t="s">
        <v>13</v>
      </c>
      <c r="I726" s="16">
        <v>2015</v>
      </c>
      <c r="J726" s="16" t="s">
        <v>4133</v>
      </c>
      <c r="K726" s="16" t="s">
        <v>1954</v>
      </c>
      <c r="L726" s="16" t="s">
        <v>15</v>
      </c>
      <c r="M726" s="16" t="s">
        <v>4134</v>
      </c>
      <c r="N726" s="16"/>
      <c r="O726" s="16"/>
    </row>
    <row r="727" spans="1:15" x14ac:dyDescent="0.3">
      <c r="A727" s="16">
        <v>726</v>
      </c>
      <c r="B727" s="16" t="s">
        <v>1641</v>
      </c>
      <c r="C727" s="16" t="str">
        <f>"V4160983802001"</f>
        <v>V4160983802001</v>
      </c>
      <c r="D727" s="16" t="s">
        <v>4135</v>
      </c>
      <c r="E727" s="16" t="s">
        <v>4070</v>
      </c>
      <c r="F727" s="19" t="s">
        <v>4071</v>
      </c>
      <c r="G727" s="16" t="s">
        <v>983</v>
      </c>
      <c r="H727" s="16" t="s">
        <v>13</v>
      </c>
      <c r="I727" s="16">
        <v>2015</v>
      </c>
      <c r="J727" s="16" t="s">
        <v>4136</v>
      </c>
      <c r="K727" s="16" t="s">
        <v>4137</v>
      </c>
      <c r="L727" s="16" t="s">
        <v>15</v>
      </c>
      <c r="M727" s="16" t="s">
        <v>4138</v>
      </c>
      <c r="N727" s="16"/>
      <c r="O727" s="16"/>
    </row>
    <row r="728" spans="1:15" x14ac:dyDescent="0.3">
      <c r="A728" s="16">
        <v>727</v>
      </c>
      <c r="B728" s="16" t="s">
        <v>1641</v>
      </c>
      <c r="C728" s="16" t="str">
        <f>"V4160983803001"</f>
        <v>V4160983803001</v>
      </c>
      <c r="D728" s="16" t="s">
        <v>4139</v>
      </c>
      <c r="E728" s="16" t="s">
        <v>4070</v>
      </c>
      <c r="F728" s="19" t="s">
        <v>4071</v>
      </c>
      <c r="G728" s="16" t="s">
        <v>983</v>
      </c>
      <c r="H728" s="16" t="s">
        <v>13</v>
      </c>
      <c r="I728" s="16">
        <v>2015</v>
      </c>
      <c r="J728" s="16" t="s">
        <v>4140</v>
      </c>
      <c r="K728" s="16" t="s">
        <v>1117</v>
      </c>
      <c r="L728" s="16" t="s">
        <v>15</v>
      </c>
      <c r="M728" s="16" t="s">
        <v>4141</v>
      </c>
      <c r="N728" s="16"/>
      <c r="O728" s="16"/>
    </row>
    <row r="729" spans="1:15" x14ac:dyDescent="0.3">
      <c r="A729" s="16">
        <v>728</v>
      </c>
      <c r="B729" s="16" t="s">
        <v>1641</v>
      </c>
      <c r="C729" s="16" t="str">
        <f>"V4160983804001"</f>
        <v>V4160983804001</v>
      </c>
      <c r="D729" s="16" t="s">
        <v>4142</v>
      </c>
      <c r="E729" s="16" t="s">
        <v>4070</v>
      </c>
      <c r="F729" s="19" t="s">
        <v>4071</v>
      </c>
      <c r="G729" s="16" t="s">
        <v>983</v>
      </c>
      <c r="H729" s="16" t="s">
        <v>13</v>
      </c>
      <c r="I729" s="16">
        <v>2015</v>
      </c>
      <c r="J729" s="16" t="s">
        <v>4143</v>
      </c>
      <c r="K729" s="16" t="s">
        <v>1786</v>
      </c>
      <c r="L729" s="16" t="s">
        <v>15</v>
      </c>
      <c r="M729" s="16" t="s">
        <v>4144</v>
      </c>
      <c r="N729" s="16"/>
      <c r="O729" s="16"/>
    </row>
    <row r="730" spans="1:15" x14ac:dyDescent="0.3">
      <c r="A730" s="16">
        <v>729</v>
      </c>
      <c r="B730" s="16" t="s">
        <v>1641</v>
      </c>
      <c r="C730" s="16" t="str">
        <f>"V4163105219001"</f>
        <v>V4163105219001</v>
      </c>
      <c r="D730" s="16" t="s">
        <v>4145</v>
      </c>
      <c r="E730" s="16" t="s">
        <v>4070</v>
      </c>
      <c r="F730" s="19" t="s">
        <v>4071</v>
      </c>
      <c r="G730" s="16" t="s">
        <v>983</v>
      </c>
      <c r="H730" s="16" t="s">
        <v>13</v>
      </c>
      <c r="I730" s="16">
        <v>2015</v>
      </c>
      <c r="J730" s="16" t="s">
        <v>4146</v>
      </c>
      <c r="K730" s="16" t="s">
        <v>4147</v>
      </c>
      <c r="L730" s="16" t="s">
        <v>15</v>
      </c>
      <c r="M730" s="16" t="s">
        <v>4148</v>
      </c>
      <c r="N730" s="16"/>
      <c r="O730" s="16"/>
    </row>
    <row r="731" spans="1:15" x14ac:dyDescent="0.3">
      <c r="A731" s="16">
        <v>730</v>
      </c>
      <c r="B731" s="16" t="s">
        <v>1641</v>
      </c>
      <c r="C731" s="16" t="str">
        <f>"V4199138213001"</f>
        <v>V4199138213001</v>
      </c>
      <c r="D731" s="16" t="s">
        <v>4149</v>
      </c>
      <c r="E731" s="16" t="s">
        <v>4150</v>
      </c>
      <c r="F731" s="21">
        <v>9780071630115</v>
      </c>
      <c r="G731" s="16" t="s">
        <v>4151</v>
      </c>
      <c r="H731" s="16" t="s">
        <v>4152</v>
      </c>
      <c r="I731" s="16">
        <v>2015</v>
      </c>
      <c r="J731" s="16" t="s">
        <v>4153</v>
      </c>
      <c r="K731" s="16" t="s">
        <v>4154</v>
      </c>
      <c r="L731" s="16" t="s">
        <v>15</v>
      </c>
      <c r="M731" s="16" t="s">
        <v>4155</v>
      </c>
      <c r="N731" s="16"/>
      <c r="O731" s="16"/>
    </row>
    <row r="732" spans="1:15" x14ac:dyDescent="0.3">
      <c r="A732" s="16">
        <v>731</v>
      </c>
      <c r="B732" s="16" t="s">
        <v>1641</v>
      </c>
      <c r="C732" s="16" t="str">
        <f>"V4199138214001"</f>
        <v>V4199138214001</v>
      </c>
      <c r="D732" s="16" t="s">
        <v>4156</v>
      </c>
      <c r="E732" s="16" t="s">
        <v>4150</v>
      </c>
      <c r="F732" s="21">
        <v>9780071630115</v>
      </c>
      <c r="G732" s="16" t="s">
        <v>4151</v>
      </c>
      <c r="H732" s="16" t="s">
        <v>4152</v>
      </c>
      <c r="I732" s="16">
        <v>2015</v>
      </c>
      <c r="J732" s="16" t="s">
        <v>4157</v>
      </c>
      <c r="K732" s="16" t="s">
        <v>4158</v>
      </c>
      <c r="L732" s="16" t="s">
        <v>15</v>
      </c>
      <c r="M732" s="16" t="s">
        <v>4159</v>
      </c>
      <c r="N732" s="16"/>
      <c r="O732" s="16"/>
    </row>
    <row r="733" spans="1:15" x14ac:dyDescent="0.3">
      <c r="A733" s="16">
        <v>732</v>
      </c>
      <c r="B733" s="16" t="s">
        <v>1641</v>
      </c>
      <c r="C733" s="16" t="str">
        <f>"V4199138215001"</f>
        <v>V4199138215001</v>
      </c>
      <c r="D733" s="16" t="s">
        <v>4160</v>
      </c>
      <c r="E733" s="16" t="s">
        <v>4150</v>
      </c>
      <c r="F733" s="21">
        <v>9780071630115</v>
      </c>
      <c r="G733" s="16" t="s">
        <v>4151</v>
      </c>
      <c r="H733" s="16" t="s">
        <v>4152</v>
      </c>
      <c r="I733" s="16">
        <v>2015</v>
      </c>
      <c r="J733" s="16" t="s">
        <v>4161</v>
      </c>
      <c r="K733" s="16" t="s">
        <v>4162</v>
      </c>
      <c r="L733" s="16" t="s">
        <v>15</v>
      </c>
      <c r="M733" s="16" t="s">
        <v>4163</v>
      </c>
      <c r="N733" s="16"/>
      <c r="O733" s="16"/>
    </row>
    <row r="734" spans="1:15" x14ac:dyDescent="0.3">
      <c r="A734" s="16">
        <v>733</v>
      </c>
      <c r="B734" s="16" t="s">
        <v>1641</v>
      </c>
      <c r="C734" s="16" t="str">
        <f>"V4199138216001"</f>
        <v>V4199138216001</v>
      </c>
      <c r="D734" s="16" t="s">
        <v>4164</v>
      </c>
      <c r="E734" s="16" t="s">
        <v>4150</v>
      </c>
      <c r="F734" s="21">
        <v>9780071630115</v>
      </c>
      <c r="G734" s="16" t="s">
        <v>4151</v>
      </c>
      <c r="H734" s="16" t="s">
        <v>4152</v>
      </c>
      <c r="I734" s="16">
        <v>2015</v>
      </c>
      <c r="J734" s="16" t="s">
        <v>4165</v>
      </c>
      <c r="K734" s="16" t="s">
        <v>4166</v>
      </c>
      <c r="L734" s="16" t="s">
        <v>15</v>
      </c>
      <c r="M734" s="16" t="s">
        <v>4167</v>
      </c>
      <c r="N734" s="16"/>
      <c r="O734" s="16"/>
    </row>
    <row r="735" spans="1:15" x14ac:dyDescent="0.3">
      <c r="A735" s="16">
        <v>734</v>
      </c>
      <c r="B735" s="16" t="s">
        <v>1641</v>
      </c>
      <c r="C735" s="16" t="str">
        <f>"V4199138220001"</f>
        <v>V4199138220001</v>
      </c>
      <c r="D735" s="16" t="s">
        <v>4168</v>
      </c>
      <c r="E735" s="16" t="s">
        <v>4150</v>
      </c>
      <c r="F735" s="21">
        <v>9780071630115</v>
      </c>
      <c r="G735" s="16" t="s">
        <v>4151</v>
      </c>
      <c r="H735" s="16" t="s">
        <v>4152</v>
      </c>
      <c r="I735" s="16">
        <v>2015</v>
      </c>
      <c r="J735" s="16" t="s">
        <v>4169</v>
      </c>
      <c r="K735" s="16" t="s">
        <v>4170</v>
      </c>
      <c r="L735" s="16" t="s">
        <v>15</v>
      </c>
      <c r="M735" s="16" t="s">
        <v>4171</v>
      </c>
      <c r="N735" s="16"/>
      <c r="O735" s="16"/>
    </row>
    <row r="736" spans="1:15" x14ac:dyDescent="0.3">
      <c r="A736" s="16">
        <v>735</v>
      </c>
      <c r="B736" s="16" t="s">
        <v>1641</v>
      </c>
      <c r="C736" s="16" t="str">
        <f>"V4199138221001"</f>
        <v>V4199138221001</v>
      </c>
      <c r="D736" s="16" t="s">
        <v>4172</v>
      </c>
      <c r="E736" s="16" t="s">
        <v>4150</v>
      </c>
      <c r="F736" s="21">
        <v>9780071630115</v>
      </c>
      <c r="G736" s="16" t="s">
        <v>4151</v>
      </c>
      <c r="H736" s="16" t="s">
        <v>4152</v>
      </c>
      <c r="I736" s="16">
        <v>2015</v>
      </c>
      <c r="J736" s="16" t="s">
        <v>4173</v>
      </c>
      <c r="K736" s="16" t="s">
        <v>4158</v>
      </c>
      <c r="L736" s="16" t="s">
        <v>15</v>
      </c>
      <c r="M736" s="16" t="s">
        <v>4174</v>
      </c>
      <c r="N736" s="16"/>
      <c r="O736" s="16"/>
    </row>
    <row r="737" spans="1:15" x14ac:dyDescent="0.3">
      <c r="A737" s="16">
        <v>736</v>
      </c>
      <c r="B737" s="16" t="s">
        <v>1641</v>
      </c>
      <c r="C737" s="16" t="str">
        <f>"V4199138224001"</f>
        <v>V4199138224001</v>
      </c>
      <c r="D737" s="16" t="s">
        <v>4175</v>
      </c>
      <c r="E737" s="16" t="s">
        <v>4150</v>
      </c>
      <c r="F737" s="21">
        <v>9780071630115</v>
      </c>
      <c r="G737" s="16" t="s">
        <v>4151</v>
      </c>
      <c r="H737" s="16" t="s">
        <v>4152</v>
      </c>
      <c r="I737" s="16">
        <v>2015</v>
      </c>
      <c r="J737" s="16" t="s">
        <v>4176</v>
      </c>
      <c r="K737" s="16" t="s">
        <v>4158</v>
      </c>
      <c r="L737" s="16" t="s">
        <v>15</v>
      </c>
      <c r="M737" s="16" t="s">
        <v>4177</v>
      </c>
      <c r="N737" s="16"/>
      <c r="O737" s="16"/>
    </row>
    <row r="738" spans="1:15" x14ac:dyDescent="0.3">
      <c r="A738" s="16">
        <v>737</v>
      </c>
      <c r="B738" s="16" t="s">
        <v>1641</v>
      </c>
      <c r="C738" s="16" t="str">
        <f>"V4199176147001"</f>
        <v>V4199176147001</v>
      </c>
      <c r="D738" s="16" t="s">
        <v>4178</v>
      </c>
      <c r="E738" s="16" t="s">
        <v>4150</v>
      </c>
      <c r="F738" s="21">
        <v>9780071630115</v>
      </c>
      <c r="G738" s="16" t="s">
        <v>4151</v>
      </c>
      <c r="H738" s="16" t="s">
        <v>4152</v>
      </c>
      <c r="I738" s="16">
        <v>2015</v>
      </c>
      <c r="J738" s="16" t="s">
        <v>4179</v>
      </c>
      <c r="K738" s="16" t="s">
        <v>4154</v>
      </c>
      <c r="L738" s="16" t="s">
        <v>15</v>
      </c>
      <c r="M738" s="16" t="s">
        <v>4180</v>
      </c>
      <c r="N738" s="16"/>
      <c r="O738" s="16"/>
    </row>
    <row r="739" spans="1:15" x14ac:dyDescent="0.3">
      <c r="A739" s="16">
        <v>738</v>
      </c>
      <c r="B739" s="16" t="s">
        <v>1641</v>
      </c>
      <c r="C739" s="16" t="str">
        <f>"V4199176151001"</f>
        <v>V4199176151001</v>
      </c>
      <c r="D739" s="16" t="s">
        <v>4181</v>
      </c>
      <c r="E739" s="16" t="s">
        <v>4150</v>
      </c>
      <c r="F739" s="21">
        <v>9780071630115</v>
      </c>
      <c r="G739" s="16" t="s">
        <v>4151</v>
      </c>
      <c r="H739" s="16" t="s">
        <v>4152</v>
      </c>
      <c r="I739" s="16">
        <v>2015</v>
      </c>
      <c r="J739" s="16" t="s">
        <v>4182</v>
      </c>
      <c r="K739" s="16" t="s">
        <v>4154</v>
      </c>
      <c r="L739" s="16" t="s">
        <v>15</v>
      </c>
      <c r="M739" s="16" t="s">
        <v>4183</v>
      </c>
      <c r="N739" s="16"/>
      <c r="O739" s="16"/>
    </row>
    <row r="740" spans="1:15" x14ac:dyDescent="0.3">
      <c r="A740" s="16">
        <v>739</v>
      </c>
      <c r="B740" s="16" t="s">
        <v>1641</v>
      </c>
      <c r="C740" s="16" t="str">
        <f>"V4199176154001"</f>
        <v>V4199176154001</v>
      </c>
      <c r="D740" s="16" t="s">
        <v>4184</v>
      </c>
      <c r="E740" s="16" t="s">
        <v>4150</v>
      </c>
      <c r="F740" s="21">
        <v>9780071630115</v>
      </c>
      <c r="G740" s="16" t="s">
        <v>4151</v>
      </c>
      <c r="H740" s="16" t="s">
        <v>4152</v>
      </c>
      <c r="I740" s="16">
        <v>2015</v>
      </c>
      <c r="J740" s="16" t="s">
        <v>4185</v>
      </c>
      <c r="K740" s="16" t="s">
        <v>4186</v>
      </c>
      <c r="L740" s="16" t="s">
        <v>15</v>
      </c>
      <c r="M740" s="16" t="s">
        <v>4187</v>
      </c>
      <c r="N740" s="16"/>
      <c r="O740" s="16"/>
    </row>
    <row r="741" spans="1:15" x14ac:dyDescent="0.3">
      <c r="A741" s="16">
        <v>740</v>
      </c>
      <c r="B741" s="16" t="s">
        <v>1641</v>
      </c>
      <c r="C741" s="16" t="str">
        <f>"V4199176155001"</f>
        <v>V4199176155001</v>
      </c>
      <c r="D741" s="16" t="s">
        <v>4188</v>
      </c>
      <c r="E741" s="16" t="s">
        <v>4150</v>
      </c>
      <c r="F741" s="21">
        <v>9780071630115</v>
      </c>
      <c r="G741" s="16" t="s">
        <v>4151</v>
      </c>
      <c r="H741" s="16" t="s">
        <v>4152</v>
      </c>
      <c r="I741" s="16">
        <v>2015</v>
      </c>
      <c r="J741" s="16" t="s">
        <v>4189</v>
      </c>
      <c r="K741" s="16" t="s">
        <v>4158</v>
      </c>
      <c r="L741" s="16" t="s">
        <v>15</v>
      </c>
      <c r="M741" s="16" t="s">
        <v>4190</v>
      </c>
      <c r="N741" s="16"/>
      <c r="O741" s="16"/>
    </row>
    <row r="742" spans="1:15" x14ac:dyDescent="0.3">
      <c r="A742" s="16">
        <v>741</v>
      </c>
      <c r="B742" s="16" t="s">
        <v>1641</v>
      </c>
      <c r="C742" s="16" t="str">
        <f>"V4199176156001"</f>
        <v>V4199176156001</v>
      </c>
      <c r="D742" s="16" t="s">
        <v>4191</v>
      </c>
      <c r="E742" s="16" t="s">
        <v>4150</v>
      </c>
      <c r="F742" s="21">
        <v>9780071630115</v>
      </c>
      <c r="G742" s="16" t="s">
        <v>4151</v>
      </c>
      <c r="H742" s="16" t="s">
        <v>4152</v>
      </c>
      <c r="I742" s="16">
        <v>2015</v>
      </c>
      <c r="J742" s="16" t="s">
        <v>4192</v>
      </c>
      <c r="K742" s="16" t="s">
        <v>4193</v>
      </c>
      <c r="L742" s="16" t="s">
        <v>15</v>
      </c>
      <c r="M742" s="16" t="s">
        <v>4194</v>
      </c>
      <c r="N742" s="16"/>
      <c r="O742" s="16"/>
    </row>
    <row r="743" spans="1:15" x14ac:dyDescent="0.3">
      <c r="A743" s="16">
        <v>742</v>
      </c>
      <c r="B743" s="16" t="s">
        <v>1641</v>
      </c>
      <c r="C743" s="16" t="str">
        <f>"V4199176157001"</f>
        <v>V4199176157001</v>
      </c>
      <c r="D743" s="16" t="s">
        <v>4195</v>
      </c>
      <c r="E743" s="16" t="s">
        <v>4150</v>
      </c>
      <c r="F743" s="21">
        <v>9780071630115</v>
      </c>
      <c r="G743" s="16" t="s">
        <v>4151</v>
      </c>
      <c r="H743" s="16" t="s">
        <v>4152</v>
      </c>
      <c r="I743" s="16">
        <v>2015</v>
      </c>
      <c r="J743" s="16" t="s">
        <v>4196</v>
      </c>
      <c r="K743" s="16" t="s">
        <v>4197</v>
      </c>
      <c r="L743" s="16" t="s">
        <v>15</v>
      </c>
      <c r="M743" s="16" t="s">
        <v>4198</v>
      </c>
      <c r="N743" s="16"/>
      <c r="O743" s="16"/>
    </row>
    <row r="744" spans="1:15" x14ac:dyDescent="0.3">
      <c r="A744" s="16">
        <v>743</v>
      </c>
      <c r="B744" s="16" t="s">
        <v>1641</v>
      </c>
      <c r="C744" s="16" t="str">
        <f>"V4199176162001"</f>
        <v>V4199176162001</v>
      </c>
      <c r="D744" s="16" t="s">
        <v>4199</v>
      </c>
      <c r="E744" s="16" t="s">
        <v>4150</v>
      </c>
      <c r="F744" s="21">
        <v>9780071630115</v>
      </c>
      <c r="G744" s="16" t="s">
        <v>4151</v>
      </c>
      <c r="H744" s="16" t="s">
        <v>4152</v>
      </c>
      <c r="I744" s="16">
        <v>2015</v>
      </c>
      <c r="J744" s="16" t="s">
        <v>4200</v>
      </c>
      <c r="K744" s="16" t="s">
        <v>4201</v>
      </c>
      <c r="L744" s="16" t="s">
        <v>15</v>
      </c>
      <c r="M744" s="16" t="s">
        <v>4202</v>
      </c>
      <c r="N744" s="16"/>
      <c r="O744" s="16"/>
    </row>
    <row r="745" spans="1:15" x14ac:dyDescent="0.3">
      <c r="A745" s="16">
        <v>744</v>
      </c>
      <c r="B745" s="16" t="s">
        <v>1641</v>
      </c>
      <c r="C745" s="16" t="str">
        <f>"V4199201568001"</f>
        <v>V4199201568001</v>
      </c>
      <c r="D745" s="16" t="s">
        <v>4203</v>
      </c>
      <c r="E745" s="16" t="s">
        <v>4150</v>
      </c>
      <c r="F745" s="21">
        <v>9780071630115</v>
      </c>
      <c r="G745" s="16" t="s">
        <v>4151</v>
      </c>
      <c r="H745" s="16" t="s">
        <v>4152</v>
      </c>
      <c r="I745" s="16">
        <v>2015</v>
      </c>
      <c r="J745" s="16" t="s">
        <v>4204</v>
      </c>
      <c r="K745" s="16" t="s">
        <v>4205</v>
      </c>
      <c r="L745" s="16" t="s">
        <v>15</v>
      </c>
      <c r="M745" s="16" t="s">
        <v>4206</v>
      </c>
      <c r="N745" s="16"/>
      <c r="O745" s="16"/>
    </row>
    <row r="746" spans="1:15" x14ac:dyDescent="0.3">
      <c r="A746" s="16">
        <v>745</v>
      </c>
      <c r="B746" s="16" t="s">
        <v>1641</v>
      </c>
      <c r="C746" s="16" t="str">
        <f>"V4199201572001"</f>
        <v>V4199201572001</v>
      </c>
      <c r="D746" s="16" t="s">
        <v>4207</v>
      </c>
      <c r="E746" s="16" t="s">
        <v>4150</v>
      </c>
      <c r="F746" s="21">
        <v>9780071630115</v>
      </c>
      <c r="G746" s="16" t="s">
        <v>4151</v>
      </c>
      <c r="H746" s="16" t="s">
        <v>4152</v>
      </c>
      <c r="I746" s="16">
        <v>2015</v>
      </c>
      <c r="J746" s="16" t="s">
        <v>4208</v>
      </c>
      <c r="K746" s="16" t="s">
        <v>4186</v>
      </c>
      <c r="L746" s="16" t="s">
        <v>15</v>
      </c>
      <c r="M746" s="16" t="s">
        <v>4209</v>
      </c>
      <c r="N746" s="16"/>
      <c r="O746" s="16"/>
    </row>
    <row r="747" spans="1:15" x14ac:dyDescent="0.3">
      <c r="A747" s="16">
        <v>746</v>
      </c>
      <c r="B747" s="16" t="s">
        <v>1641</v>
      </c>
      <c r="C747" s="16" t="str">
        <f>"V4199201575001"</f>
        <v>V4199201575001</v>
      </c>
      <c r="D747" s="16" t="s">
        <v>4210</v>
      </c>
      <c r="E747" s="16" t="s">
        <v>4150</v>
      </c>
      <c r="F747" s="21">
        <v>9780071630115</v>
      </c>
      <c r="G747" s="16" t="s">
        <v>4151</v>
      </c>
      <c r="H747" s="16" t="s">
        <v>4152</v>
      </c>
      <c r="I747" s="16">
        <v>2015</v>
      </c>
      <c r="J747" s="16" t="s">
        <v>4211</v>
      </c>
      <c r="K747" s="16" t="s">
        <v>4212</v>
      </c>
      <c r="L747" s="16" t="s">
        <v>15</v>
      </c>
      <c r="M747" s="16" t="s">
        <v>4213</v>
      </c>
      <c r="N747" s="16"/>
      <c r="O747" s="16"/>
    </row>
    <row r="748" spans="1:15" x14ac:dyDescent="0.3">
      <c r="A748" s="16">
        <v>747</v>
      </c>
      <c r="B748" s="16" t="s">
        <v>1641</v>
      </c>
      <c r="C748" s="16" t="str">
        <f>"V4199201577001"</f>
        <v>V4199201577001</v>
      </c>
      <c r="D748" s="16" t="s">
        <v>4214</v>
      </c>
      <c r="E748" s="16" t="s">
        <v>4150</v>
      </c>
      <c r="F748" s="21">
        <v>9780071630115</v>
      </c>
      <c r="G748" s="16" t="s">
        <v>4151</v>
      </c>
      <c r="H748" s="16" t="s">
        <v>4152</v>
      </c>
      <c r="I748" s="16">
        <v>2015</v>
      </c>
      <c r="J748" s="16" t="s">
        <v>4215</v>
      </c>
      <c r="K748" s="16" t="s">
        <v>4216</v>
      </c>
      <c r="L748" s="16" t="s">
        <v>15</v>
      </c>
      <c r="M748" s="16" t="s">
        <v>4217</v>
      </c>
      <c r="N748" s="16"/>
      <c r="O748" s="16"/>
    </row>
    <row r="749" spans="1:15" x14ac:dyDescent="0.3">
      <c r="A749" s="16">
        <v>748</v>
      </c>
      <c r="B749" s="16" t="s">
        <v>1641</v>
      </c>
      <c r="C749" s="16" t="str">
        <f>"V4199201580001"</f>
        <v>V4199201580001</v>
      </c>
      <c r="D749" s="16" t="s">
        <v>4218</v>
      </c>
      <c r="E749" s="16" t="s">
        <v>4150</v>
      </c>
      <c r="F749" s="21">
        <v>9780071630115</v>
      </c>
      <c r="G749" s="16" t="s">
        <v>4151</v>
      </c>
      <c r="H749" s="16" t="s">
        <v>4152</v>
      </c>
      <c r="I749" s="16">
        <v>2015</v>
      </c>
      <c r="J749" s="16" t="s">
        <v>4219</v>
      </c>
      <c r="K749" s="16" t="s">
        <v>4220</v>
      </c>
      <c r="L749" s="16" t="s">
        <v>15</v>
      </c>
      <c r="M749" s="16" t="s">
        <v>4221</v>
      </c>
      <c r="N749" s="16"/>
      <c r="O749" s="16"/>
    </row>
    <row r="750" spans="1:15" x14ac:dyDescent="0.3">
      <c r="A750" s="16">
        <v>749</v>
      </c>
      <c r="B750" s="16" t="s">
        <v>1641</v>
      </c>
      <c r="C750" s="16" t="str">
        <f>"V4199201582001"</f>
        <v>V4199201582001</v>
      </c>
      <c r="D750" s="16" t="s">
        <v>4222</v>
      </c>
      <c r="E750" s="16" t="s">
        <v>4150</v>
      </c>
      <c r="F750" s="21">
        <v>9780071630115</v>
      </c>
      <c r="G750" s="16" t="s">
        <v>4151</v>
      </c>
      <c r="H750" s="16" t="s">
        <v>4152</v>
      </c>
      <c r="I750" s="16">
        <v>2015</v>
      </c>
      <c r="J750" s="16" t="s">
        <v>4223</v>
      </c>
      <c r="K750" s="16" t="s">
        <v>4224</v>
      </c>
      <c r="L750" s="16" t="s">
        <v>15</v>
      </c>
      <c r="M750" s="16" t="s">
        <v>4225</v>
      </c>
      <c r="N750" s="16"/>
      <c r="O750" s="16"/>
    </row>
    <row r="751" spans="1:15" x14ac:dyDescent="0.3">
      <c r="A751" s="16">
        <v>750</v>
      </c>
      <c r="B751" s="16" t="s">
        <v>1641</v>
      </c>
      <c r="C751" s="16" t="str">
        <f>"V4398262814001"</f>
        <v>V4398262814001</v>
      </c>
      <c r="D751" s="16" t="s">
        <v>4226</v>
      </c>
      <c r="E751" s="16" t="s">
        <v>4070</v>
      </c>
      <c r="F751" s="19" t="s">
        <v>4071</v>
      </c>
      <c r="G751" s="16" t="s">
        <v>983</v>
      </c>
      <c r="H751" s="16" t="s">
        <v>13</v>
      </c>
      <c r="I751" s="16">
        <v>2015</v>
      </c>
      <c r="J751" s="16" t="s">
        <v>4227</v>
      </c>
      <c r="K751" s="16" t="s">
        <v>36</v>
      </c>
      <c r="L751" s="16" t="s">
        <v>15</v>
      </c>
      <c r="M751" s="16" t="s">
        <v>4228</v>
      </c>
      <c r="N751" s="16"/>
      <c r="O751" s="16"/>
    </row>
    <row r="752" spans="1:15" x14ac:dyDescent="0.3">
      <c r="A752" s="16">
        <v>751</v>
      </c>
      <c r="B752" s="16" t="s">
        <v>1641</v>
      </c>
      <c r="C752" s="16" t="str">
        <f>"V4398262822001"</f>
        <v>V4398262822001</v>
      </c>
      <c r="D752" s="16" t="s">
        <v>4229</v>
      </c>
      <c r="E752" s="16" t="s">
        <v>4070</v>
      </c>
      <c r="F752" s="19" t="s">
        <v>4071</v>
      </c>
      <c r="G752" s="16" t="s">
        <v>983</v>
      </c>
      <c r="H752" s="16" t="s">
        <v>13</v>
      </c>
      <c r="I752" s="16">
        <v>2015</v>
      </c>
      <c r="J752" s="16" t="s">
        <v>4230</v>
      </c>
      <c r="K752" s="16" t="s">
        <v>4231</v>
      </c>
      <c r="L752" s="16" t="s">
        <v>15</v>
      </c>
      <c r="M752" s="16" t="s">
        <v>4232</v>
      </c>
      <c r="N752" s="16"/>
      <c r="O752" s="16"/>
    </row>
    <row r="753" spans="1:15" x14ac:dyDescent="0.3">
      <c r="A753" s="16">
        <v>752</v>
      </c>
      <c r="B753" s="16" t="s">
        <v>1641</v>
      </c>
      <c r="C753" s="16" t="str">
        <f>"V4398262825001"</f>
        <v>V4398262825001</v>
      </c>
      <c r="D753" s="16" t="s">
        <v>4233</v>
      </c>
      <c r="E753" s="16" t="s">
        <v>4070</v>
      </c>
      <c r="F753" s="19" t="s">
        <v>4071</v>
      </c>
      <c r="G753" s="16" t="s">
        <v>983</v>
      </c>
      <c r="H753" s="16" t="s">
        <v>13</v>
      </c>
      <c r="I753" s="16">
        <v>2015</v>
      </c>
      <c r="J753" s="16" t="s">
        <v>4234</v>
      </c>
      <c r="K753" s="16" t="s">
        <v>4235</v>
      </c>
      <c r="L753" s="16" t="s">
        <v>15</v>
      </c>
      <c r="M753" s="16" t="s">
        <v>4236</v>
      </c>
      <c r="N753" s="16"/>
      <c r="O753" s="16"/>
    </row>
    <row r="754" spans="1:15" x14ac:dyDescent="0.3">
      <c r="A754" s="16">
        <v>753</v>
      </c>
      <c r="B754" s="16" t="s">
        <v>1641</v>
      </c>
      <c r="C754" s="16" t="str">
        <f>"V4398262830001"</f>
        <v>V4398262830001</v>
      </c>
      <c r="D754" s="16" t="s">
        <v>4237</v>
      </c>
      <c r="E754" s="16" t="s">
        <v>4070</v>
      </c>
      <c r="F754" s="19" t="s">
        <v>4071</v>
      </c>
      <c r="G754" s="16" t="s">
        <v>983</v>
      </c>
      <c r="H754" s="16" t="s">
        <v>13</v>
      </c>
      <c r="I754" s="16">
        <v>2015</v>
      </c>
      <c r="J754" s="16" t="s">
        <v>4238</v>
      </c>
      <c r="K754" s="16" t="s">
        <v>4126</v>
      </c>
      <c r="L754" s="16" t="s">
        <v>15</v>
      </c>
      <c r="M754" s="16" t="s">
        <v>4239</v>
      </c>
      <c r="N754" s="16"/>
      <c r="O754" s="16"/>
    </row>
    <row r="755" spans="1:15" x14ac:dyDescent="0.3">
      <c r="A755" s="16">
        <v>754</v>
      </c>
      <c r="B755" s="16" t="s">
        <v>1641</v>
      </c>
      <c r="C755" s="16" t="str">
        <f>"V4398272078001"</f>
        <v>V4398272078001</v>
      </c>
      <c r="D755" s="16" t="s">
        <v>4240</v>
      </c>
      <c r="E755" s="16" t="s">
        <v>4070</v>
      </c>
      <c r="F755" s="19" t="s">
        <v>4071</v>
      </c>
      <c r="G755" s="16" t="s">
        <v>983</v>
      </c>
      <c r="H755" s="16" t="s">
        <v>13</v>
      </c>
      <c r="I755" s="16">
        <v>2015</v>
      </c>
      <c r="J755" s="16" t="s">
        <v>4241</v>
      </c>
      <c r="K755" s="16" t="s">
        <v>4242</v>
      </c>
      <c r="L755" s="16" t="s">
        <v>15</v>
      </c>
      <c r="M755" s="16" t="s">
        <v>4243</v>
      </c>
      <c r="N755" s="16"/>
      <c r="O755" s="16"/>
    </row>
    <row r="756" spans="1:15" x14ac:dyDescent="0.3">
      <c r="A756" s="16">
        <v>755</v>
      </c>
      <c r="B756" s="16" t="s">
        <v>1641</v>
      </c>
      <c r="C756" s="16" t="str">
        <f>"V4398272085001"</f>
        <v>V4398272085001</v>
      </c>
      <c r="D756" s="16" t="s">
        <v>4244</v>
      </c>
      <c r="E756" s="16" t="s">
        <v>4245</v>
      </c>
      <c r="F756" s="19" t="s">
        <v>4246</v>
      </c>
      <c r="G756" s="16" t="s">
        <v>983</v>
      </c>
      <c r="H756" s="16" t="s">
        <v>13</v>
      </c>
      <c r="I756" s="16">
        <v>2015</v>
      </c>
      <c r="J756" s="16" t="s">
        <v>4247</v>
      </c>
      <c r="K756" s="16" t="s">
        <v>1117</v>
      </c>
      <c r="L756" s="16" t="s">
        <v>15</v>
      </c>
      <c r="M756" s="16" t="s">
        <v>4248</v>
      </c>
      <c r="N756" s="16"/>
      <c r="O756" s="16"/>
    </row>
    <row r="757" spans="1:15" x14ac:dyDescent="0.3">
      <c r="A757" s="16">
        <v>756</v>
      </c>
      <c r="B757" s="16" t="s">
        <v>1641</v>
      </c>
      <c r="C757" s="16" t="str">
        <f>"V4398272104001"</f>
        <v>V4398272104001</v>
      </c>
      <c r="D757" s="16" t="s">
        <v>4249</v>
      </c>
      <c r="E757" s="16" t="s">
        <v>4070</v>
      </c>
      <c r="F757" s="19" t="s">
        <v>4071</v>
      </c>
      <c r="G757" s="16" t="s">
        <v>983</v>
      </c>
      <c r="H757" s="16" t="s">
        <v>13</v>
      </c>
      <c r="I757" s="16">
        <v>2015</v>
      </c>
      <c r="J757" s="16" t="s">
        <v>4250</v>
      </c>
      <c r="K757" s="16" t="s">
        <v>4251</v>
      </c>
      <c r="L757" s="16" t="s">
        <v>15</v>
      </c>
      <c r="M757" s="16" t="s">
        <v>4252</v>
      </c>
      <c r="N757" s="16"/>
      <c r="O757" s="16"/>
    </row>
    <row r="758" spans="1:15" x14ac:dyDescent="0.3">
      <c r="A758" s="16">
        <v>757</v>
      </c>
      <c r="B758" s="16" t="s">
        <v>1641</v>
      </c>
      <c r="C758" s="16" t="str">
        <f>"V4398329012001"</f>
        <v>V4398329012001</v>
      </c>
      <c r="D758" s="16" t="s">
        <v>4253</v>
      </c>
      <c r="E758" s="16" t="s">
        <v>4070</v>
      </c>
      <c r="F758" s="19" t="s">
        <v>4071</v>
      </c>
      <c r="G758" s="16" t="s">
        <v>983</v>
      </c>
      <c r="H758" s="16" t="s">
        <v>13</v>
      </c>
      <c r="I758" s="16">
        <v>2015</v>
      </c>
      <c r="J758" s="16" t="s">
        <v>4254</v>
      </c>
      <c r="K758" s="16" t="s">
        <v>4255</v>
      </c>
      <c r="L758" s="16" t="s">
        <v>15</v>
      </c>
      <c r="M758" s="16" t="s">
        <v>4256</v>
      </c>
      <c r="N758" s="16"/>
      <c r="O758" s="16"/>
    </row>
    <row r="759" spans="1:15" x14ac:dyDescent="0.3">
      <c r="A759" s="16">
        <v>758</v>
      </c>
      <c r="B759" s="16" t="s">
        <v>1641</v>
      </c>
      <c r="C759" s="16" t="str">
        <f>"V4398329017001"</f>
        <v>V4398329017001</v>
      </c>
      <c r="D759" s="16" t="s">
        <v>4257</v>
      </c>
      <c r="E759" s="16" t="s">
        <v>4070</v>
      </c>
      <c r="F759" s="19" t="s">
        <v>4071</v>
      </c>
      <c r="G759" s="16" t="s">
        <v>983</v>
      </c>
      <c r="H759" s="16" t="s">
        <v>13</v>
      </c>
      <c r="I759" s="16">
        <v>2015</v>
      </c>
      <c r="J759" s="16" t="s">
        <v>4258</v>
      </c>
      <c r="K759" s="16" t="s">
        <v>4259</v>
      </c>
      <c r="L759" s="16" t="s">
        <v>15</v>
      </c>
      <c r="M759" s="16" t="s">
        <v>4260</v>
      </c>
      <c r="N759" s="16"/>
      <c r="O759" s="16"/>
    </row>
    <row r="760" spans="1:15" x14ac:dyDescent="0.3">
      <c r="A760" s="16">
        <v>759</v>
      </c>
      <c r="B760" s="16" t="s">
        <v>1641</v>
      </c>
      <c r="C760" s="16" t="str">
        <f>"V4398329019001"</f>
        <v>V4398329019001</v>
      </c>
      <c r="D760" s="16" t="s">
        <v>4261</v>
      </c>
      <c r="E760" s="16" t="s">
        <v>4070</v>
      </c>
      <c r="F760" s="19" t="s">
        <v>4071</v>
      </c>
      <c r="G760" s="16" t="s">
        <v>983</v>
      </c>
      <c r="H760" s="16" t="s">
        <v>13</v>
      </c>
      <c r="I760" s="16">
        <v>2015</v>
      </c>
      <c r="J760" s="16" t="s">
        <v>4262</v>
      </c>
      <c r="K760" s="16" t="s">
        <v>4263</v>
      </c>
      <c r="L760" s="16" t="s">
        <v>15</v>
      </c>
      <c r="M760" s="16" t="s">
        <v>4264</v>
      </c>
      <c r="N760" s="16"/>
      <c r="O760" s="16"/>
    </row>
    <row r="761" spans="1:15" x14ac:dyDescent="0.3">
      <c r="A761" s="16">
        <v>760</v>
      </c>
      <c r="B761" s="16" t="s">
        <v>1641</v>
      </c>
      <c r="C761" s="16" t="str">
        <f>"V4398329025001"</f>
        <v>V4398329025001</v>
      </c>
      <c r="D761" s="16" t="s">
        <v>4265</v>
      </c>
      <c r="E761" s="16" t="s">
        <v>4070</v>
      </c>
      <c r="F761" s="19" t="s">
        <v>4071</v>
      </c>
      <c r="G761" s="16" t="s">
        <v>983</v>
      </c>
      <c r="H761" s="16" t="s">
        <v>13</v>
      </c>
      <c r="I761" s="16">
        <v>2015</v>
      </c>
      <c r="J761" s="16" t="s">
        <v>4266</v>
      </c>
      <c r="K761" s="16" t="s">
        <v>4267</v>
      </c>
      <c r="L761" s="16" t="s">
        <v>15</v>
      </c>
      <c r="M761" s="16" t="s">
        <v>4268</v>
      </c>
      <c r="N761" s="16"/>
      <c r="O761" s="16"/>
    </row>
    <row r="762" spans="1:15" x14ac:dyDescent="0.3">
      <c r="A762" s="16">
        <v>761</v>
      </c>
      <c r="B762" s="16" t="s">
        <v>1641</v>
      </c>
      <c r="C762" s="16" t="str">
        <f>"V4398329032001"</f>
        <v>V4398329032001</v>
      </c>
      <c r="D762" s="16" t="s">
        <v>4269</v>
      </c>
      <c r="E762" s="16" t="s">
        <v>4070</v>
      </c>
      <c r="F762" s="19" t="s">
        <v>4071</v>
      </c>
      <c r="G762" s="16" t="s">
        <v>983</v>
      </c>
      <c r="H762" s="16" t="s">
        <v>13</v>
      </c>
      <c r="I762" s="16">
        <v>2015</v>
      </c>
      <c r="J762" s="16" t="s">
        <v>4270</v>
      </c>
      <c r="K762" s="16" t="s">
        <v>4271</v>
      </c>
      <c r="L762" s="16" t="s">
        <v>15</v>
      </c>
      <c r="M762" s="16" t="s">
        <v>4272</v>
      </c>
      <c r="N762" s="16"/>
      <c r="O762" s="16"/>
    </row>
    <row r="763" spans="1:15" x14ac:dyDescent="0.3">
      <c r="A763" s="16">
        <v>762</v>
      </c>
      <c r="B763" s="16" t="s">
        <v>1641</v>
      </c>
      <c r="C763" s="16" t="str">
        <f>"V4398329034001"</f>
        <v>V4398329034001</v>
      </c>
      <c r="D763" s="16" t="s">
        <v>4273</v>
      </c>
      <c r="E763" s="16" t="s">
        <v>4070</v>
      </c>
      <c r="F763" s="19" t="s">
        <v>4071</v>
      </c>
      <c r="G763" s="16" t="s">
        <v>983</v>
      </c>
      <c r="H763" s="16" t="s">
        <v>13</v>
      </c>
      <c r="I763" s="16">
        <v>2015</v>
      </c>
      <c r="J763" s="16" t="s">
        <v>4274</v>
      </c>
      <c r="K763" s="16" t="s">
        <v>4275</v>
      </c>
      <c r="L763" s="16" t="s">
        <v>15</v>
      </c>
      <c r="M763" s="16" t="s">
        <v>4276</v>
      </c>
      <c r="N763" s="16"/>
      <c r="O763" s="16"/>
    </row>
    <row r="764" spans="1:15" x14ac:dyDescent="0.3">
      <c r="A764" s="16">
        <v>763</v>
      </c>
      <c r="B764" s="16" t="s">
        <v>1641</v>
      </c>
      <c r="C764" s="16" t="str">
        <f>"V4398329038001"</f>
        <v>V4398329038001</v>
      </c>
      <c r="D764" s="16" t="s">
        <v>4277</v>
      </c>
      <c r="E764" s="16" t="s">
        <v>4070</v>
      </c>
      <c r="F764" s="19" t="s">
        <v>4071</v>
      </c>
      <c r="G764" s="16" t="s">
        <v>983</v>
      </c>
      <c r="H764" s="16" t="s">
        <v>13</v>
      </c>
      <c r="I764" s="16">
        <v>2015</v>
      </c>
      <c r="J764" s="16" t="s">
        <v>4278</v>
      </c>
      <c r="K764" s="16" t="s">
        <v>4279</v>
      </c>
      <c r="L764" s="16" t="s">
        <v>15</v>
      </c>
      <c r="M764" s="16" t="s">
        <v>4280</v>
      </c>
      <c r="N764" s="16"/>
      <c r="O764" s="16"/>
    </row>
    <row r="765" spans="1:15" x14ac:dyDescent="0.3">
      <c r="A765" s="16">
        <v>764</v>
      </c>
      <c r="B765" s="16" t="s">
        <v>1641</v>
      </c>
      <c r="C765" s="16" t="str">
        <f>"V4398329042001"</f>
        <v>V4398329042001</v>
      </c>
      <c r="D765" s="16" t="s">
        <v>4281</v>
      </c>
      <c r="E765" s="16" t="s">
        <v>4070</v>
      </c>
      <c r="F765" s="19" t="s">
        <v>4071</v>
      </c>
      <c r="G765" s="16" t="s">
        <v>983</v>
      </c>
      <c r="H765" s="16" t="s">
        <v>13</v>
      </c>
      <c r="I765" s="16">
        <v>2015</v>
      </c>
      <c r="J765" s="16" t="s">
        <v>4282</v>
      </c>
      <c r="K765" s="16" t="s">
        <v>4283</v>
      </c>
      <c r="L765" s="16" t="s">
        <v>15</v>
      </c>
      <c r="M765" s="16" t="s">
        <v>4284</v>
      </c>
      <c r="N765" s="16"/>
      <c r="O765" s="16"/>
    </row>
    <row r="766" spans="1:15" x14ac:dyDescent="0.3">
      <c r="A766" s="16">
        <v>765</v>
      </c>
      <c r="B766" s="16" t="s">
        <v>1641</v>
      </c>
      <c r="C766" s="16" t="str">
        <f>"V4414255699001"</f>
        <v>V4414255699001</v>
      </c>
      <c r="D766" s="16" t="s">
        <v>4285</v>
      </c>
      <c r="E766" s="16" t="s">
        <v>4070</v>
      </c>
      <c r="F766" s="19" t="s">
        <v>4071</v>
      </c>
      <c r="G766" s="16" t="s">
        <v>983</v>
      </c>
      <c r="H766" s="16" t="s">
        <v>13</v>
      </c>
      <c r="I766" s="16">
        <v>2015</v>
      </c>
      <c r="J766" s="16" t="s">
        <v>4286</v>
      </c>
      <c r="K766" s="16" t="s">
        <v>4287</v>
      </c>
      <c r="L766" s="16" t="s">
        <v>15</v>
      </c>
      <c r="M766" s="16" t="s">
        <v>4288</v>
      </c>
      <c r="N766" s="16"/>
      <c r="O766" s="16"/>
    </row>
    <row r="767" spans="1:15" x14ac:dyDescent="0.3">
      <c r="A767" s="16">
        <v>766</v>
      </c>
      <c r="B767" s="16" t="s">
        <v>1641</v>
      </c>
      <c r="C767" s="16" t="str">
        <f>"V4414265572001"</f>
        <v>V4414265572001</v>
      </c>
      <c r="D767" s="16" t="s">
        <v>4289</v>
      </c>
      <c r="E767" s="16" t="s">
        <v>4070</v>
      </c>
      <c r="F767" s="19" t="s">
        <v>4071</v>
      </c>
      <c r="G767" s="16" t="s">
        <v>983</v>
      </c>
      <c r="H767" s="16" t="s">
        <v>13</v>
      </c>
      <c r="I767" s="16">
        <v>2015</v>
      </c>
      <c r="J767" s="16" t="s">
        <v>4290</v>
      </c>
      <c r="K767" s="16" t="s">
        <v>4147</v>
      </c>
      <c r="L767" s="16" t="s">
        <v>15</v>
      </c>
      <c r="M767" s="16" t="s">
        <v>4291</v>
      </c>
      <c r="N767" s="16"/>
      <c r="O767" s="16"/>
    </row>
    <row r="768" spans="1:15" x14ac:dyDescent="0.3">
      <c r="A768" s="16">
        <v>767</v>
      </c>
      <c r="B768" s="16" t="s">
        <v>1641</v>
      </c>
      <c r="C768" s="16" t="str">
        <f>"V4620128847001"</f>
        <v>V4620128847001</v>
      </c>
      <c r="D768" s="16" t="s">
        <v>4292</v>
      </c>
      <c r="E768" s="16" t="s">
        <v>4293</v>
      </c>
      <c r="F768" s="21">
        <v>9780071768047</v>
      </c>
      <c r="G768" s="16" t="s">
        <v>1808</v>
      </c>
      <c r="H768" s="16" t="s">
        <v>13</v>
      </c>
      <c r="I768" s="16">
        <v>2015</v>
      </c>
      <c r="J768" s="16" t="s">
        <v>4294</v>
      </c>
      <c r="K768" s="16" t="s">
        <v>1863</v>
      </c>
      <c r="L768" s="16" t="s">
        <v>15</v>
      </c>
      <c r="M768" s="16" t="s">
        <v>4295</v>
      </c>
      <c r="N768" s="16"/>
      <c r="O768" s="16"/>
    </row>
    <row r="769" spans="1:15" x14ac:dyDescent="0.3">
      <c r="A769" s="16">
        <v>768</v>
      </c>
      <c r="B769" s="16" t="s">
        <v>1641</v>
      </c>
      <c r="C769" s="16" t="str">
        <f>"V4620128848001"</f>
        <v>V4620128848001</v>
      </c>
      <c r="D769" s="16" t="s">
        <v>4296</v>
      </c>
      <c r="E769" s="16" t="s">
        <v>4293</v>
      </c>
      <c r="F769" s="21">
        <v>9780071768047</v>
      </c>
      <c r="G769" s="16" t="s">
        <v>1808</v>
      </c>
      <c r="H769" s="16" t="s">
        <v>13</v>
      </c>
      <c r="I769" s="16">
        <v>2015</v>
      </c>
      <c r="J769" s="16" t="s">
        <v>4297</v>
      </c>
      <c r="K769" s="16" t="s">
        <v>2746</v>
      </c>
      <c r="L769" s="16" t="s">
        <v>15</v>
      </c>
      <c r="M769" s="16" t="s">
        <v>4298</v>
      </c>
      <c r="N769" s="16"/>
      <c r="O769" s="16"/>
    </row>
    <row r="770" spans="1:15" x14ac:dyDescent="0.3">
      <c r="A770" s="16">
        <v>769</v>
      </c>
      <c r="B770" s="16" t="s">
        <v>1641</v>
      </c>
      <c r="C770" s="16" t="str">
        <f>"V4620147563001"</f>
        <v>V4620147563001</v>
      </c>
      <c r="D770" s="16" t="s">
        <v>4299</v>
      </c>
      <c r="E770" s="16" t="s">
        <v>4293</v>
      </c>
      <c r="F770" s="21">
        <v>9780071768047</v>
      </c>
      <c r="G770" s="16" t="s">
        <v>1808</v>
      </c>
      <c r="H770" s="16" t="s">
        <v>13</v>
      </c>
      <c r="I770" s="16">
        <v>2015</v>
      </c>
      <c r="J770" s="16" t="s">
        <v>4300</v>
      </c>
      <c r="K770" s="16" t="s">
        <v>4301</v>
      </c>
      <c r="L770" s="16" t="s">
        <v>15</v>
      </c>
      <c r="M770" s="16" t="s">
        <v>4302</v>
      </c>
      <c r="N770" s="16"/>
      <c r="O770" s="16"/>
    </row>
    <row r="771" spans="1:15" x14ac:dyDescent="0.3">
      <c r="A771" s="16">
        <v>770</v>
      </c>
      <c r="B771" s="16" t="s">
        <v>1641</v>
      </c>
      <c r="C771" s="16" t="str">
        <f>"V4620147575001"</f>
        <v>V4620147575001</v>
      </c>
      <c r="D771" s="16" t="s">
        <v>4303</v>
      </c>
      <c r="E771" s="16" t="s">
        <v>4293</v>
      </c>
      <c r="F771" s="21">
        <v>9780071768047</v>
      </c>
      <c r="G771" s="16" t="s">
        <v>1808</v>
      </c>
      <c r="H771" s="16" t="s">
        <v>13</v>
      </c>
      <c r="I771" s="16">
        <v>2015</v>
      </c>
      <c r="J771" s="16" t="s">
        <v>4304</v>
      </c>
      <c r="K771" s="16" t="s">
        <v>4305</v>
      </c>
      <c r="L771" s="16" t="s">
        <v>15</v>
      </c>
      <c r="M771" s="16" t="s">
        <v>4306</v>
      </c>
      <c r="N771" s="16"/>
      <c r="O771" s="16"/>
    </row>
    <row r="772" spans="1:15" x14ac:dyDescent="0.3">
      <c r="A772" s="16">
        <v>771</v>
      </c>
      <c r="B772" s="16" t="s">
        <v>1641</v>
      </c>
      <c r="C772" s="16" t="str">
        <f>"V4620147576001"</f>
        <v>V4620147576001</v>
      </c>
      <c r="D772" s="16" t="s">
        <v>4307</v>
      </c>
      <c r="E772" s="16" t="s">
        <v>4293</v>
      </c>
      <c r="F772" s="21">
        <v>9780071768047</v>
      </c>
      <c r="G772" s="16" t="s">
        <v>1808</v>
      </c>
      <c r="H772" s="16" t="s">
        <v>13</v>
      </c>
      <c r="I772" s="16">
        <v>2015</v>
      </c>
      <c r="J772" s="16" t="s">
        <v>4308</v>
      </c>
      <c r="K772" s="16" t="s">
        <v>2746</v>
      </c>
      <c r="L772" s="16" t="s">
        <v>15</v>
      </c>
      <c r="M772" s="16" t="s">
        <v>4309</v>
      </c>
      <c r="N772" s="16"/>
      <c r="O772" s="16"/>
    </row>
    <row r="773" spans="1:15" x14ac:dyDescent="0.3">
      <c r="A773" s="16">
        <v>772</v>
      </c>
      <c r="B773" s="16" t="s">
        <v>1641</v>
      </c>
      <c r="C773" s="16" t="str">
        <f>"V4620147578001"</f>
        <v>V4620147578001</v>
      </c>
      <c r="D773" s="16" t="s">
        <v>4310</v>
      </c>
      <c r="E773" s="16" t="s">
        <v>4293</v>
      </c>
      <c r="F773" s="21">
        <v>9780071768047</v>
      </c>
      <c r="G773" s="16" t="s">
        <v>1808</v>
      </c>
      <c r="H773" s="16" t="s">
        <v>13</v>
      </c>
      <c r="I773" s="16">
        <v>2015</v>
      </c>
      <c r="J773" s="16" t="s">
        <v>4311</v>
      </c>
      <c r="K773" s="16" t="s">
        <v>2400</v>
      </c>
      <c r="L773" s="16" t="s">
        <v>15</v>
      </c>
      <c r="M773" s="16" t="s">
        <v>4312</v>
      </c>
      <c r="N773" s="16"/>
      <c r="O773" s="16"/>
    </row>
    <row r="774" spans="1:15" x14ac:dyDescent="0.3">
      <c r="A774" s="16">
        <v>773</v>
      </c>
      <c r="B774" s="16" t="s">
        <v>1641</v>
      </c>
      <c r="C774" s="16" t="str">
        <f>"V4620147579001"</f>
        <v>V4620147579001</v>
      </c>
      <c r="D774" s="16" t="s">
        <v>4313</v>
      </c>
      <c r="E774" s="16" t="s">
        <v>4293</v>
      </c>
      <c r="F774" s="21">
        <v>9780071768047</v>
      </c>
      <c r="G774" s="16" t="s">
        <v>1808</v>
      </c>
      <c r="H774" s="16" t="s">
        <v>13</v>
      </c>
      <c r="I774" s="16">
        <v>2015</v>
      </c>
      <c r="J774" s="16" t="s">
        <v>4314</v>
      </c>
      <c r="K774" s="16" t="s">
        <v>4315</v>
      </c>
      <c r="L774" s="16" t="s">
        <v>15</v>
      </c>
      <c r="M774" s="16" t="s">
        <v>4316</v>
      </c>
      <c r="N774" s="16"/>
      <c r="O774" s="16"/>
    </row>
    <row r="775" spans="1:15" x14ac:dyDescent="0.3">
      <c r="A775" s="16">
        <v>774</v>
      </c>
      <c r="B775" s="16" t="s">
        <v>1641</v>
      </c>
      <c r="C775" s="16" t="str">
        <f>"V4620155041001"</f>
        <v>V4620155041001</v>
      </c>
      <c r="D775" s="16" t="s">
        <v>4317</v>
      </c>
      <c r="E775" s="16" t="s">
        <v>4293</v>
      </c>
      <c r="F775" s="21">
        <v>9780071768047</v>
      </c>
      <c r="G775" s="16" t="s">
        <v>1808</v>
      </c>
      <c r="H775" s="16" t="s">
        <v>13</v>
      </c>
      <c r="I775" s="16">
        <v>2015</v>
      </c>
      <c r="J775" s="16" t="s">
        <v>4318</v>
      </c>
      <c r="K775" s="16" t="s">
        <v>1818</v>
      </c>
      <c r="L775" s="16" t="s">
        <v>15</v>
      </c>
      <c r="M775" s="16" t="s">
        <v>4319</v>
      </c>
      <c r="N775" s="16"/>
      <c r="O775" s="16"/>
    </row>
    <row r="776" spans="1:15" x14ac:dyDescent="0.3">
      <c r="A776" s="16">
        <v>775</v>
      </c>
      <c r="B776" s="16" t="s">
        <v>1641</v>
      </c>
      <c r="C776" s="16" t="str">
        <f>"V4620155044001"</f>
        <v>V4620155044001</v>
      </c>
      <c r="D776" s="16" t="s">
        <v>4320</v>
      </c>
      <c r="E776" s="16" t="s">
        <v>4293</v>
      </c>
      <c r="F776" s="21">
        <v>9780071768047</v>
      </c>
      <c r="G776" s="16" t="s">
        <v>1808</v>
      </c>
      <c r="H776" s="16" t="s">
        <v>13</v>
      </c>
      <c r="I776" s="16">
        <v>2015</v>
      </c>
      <c r="J776" s="16" t="s">
        <v>4321</v>
      </c>
      <c r="K776" s="16" t="s">
        <v>4322</v>
      </c>
      <c r="L776" s="16" t="s">
        <v>15</v>
      </c>
      <c r="M776" s="16" t="s">
        <v>4323</v>
      </c>
      <c r="N776" s="16"/>
      <c r="O776" s="16"/>
    </row>
    <row r="777" spans="1:15" x14ac:dyDescent="0.3">
      <c r="A777" s="16">
        <v>776</v>
      </c>
      <c r="B777" s="16" t="s">
        <v>1641</v>
      </c>
      <c r="C777" s="16" t="str">
        <f>"V4620155046001"</f>
        <v>V4620155046001</v>
      </c>
      <c r="D777" s="16" t="s">
        <v>4324</v>
      </c>
      <c r="E777" s="16" t="s">
        <v>4293</v>
      </c>
      <c r="F777" s="21">
        <v>9780071768047</v>
      </c>
      <c r="G777" s="16" t="s">
        <v>1808</v>
      </c>
      <c r="H777" s="16" t="s">
        <v>13</v>
      </c>
      <c r="I777" s="16">
        <v>2015</v>
      </c>
      <c r="J777" s="16" t="s">
        <v>4325</v>
      </c>
      <c r="K777" s="16" t="s">
        <v>2746</v>
      </c>
      <c r="L777" s="16" t="s">
        <v>15</v>
      </c>
      <c r="M777" s="16" t="s">
        <v>4326</v>
      </c>
      <c r="N777" s="16"/>
      <c r="O777" s="16"/>
    </row>
    <row r="778" spans="1:15" x14ac:dyDescent="0.3">
      <c r="A778" s="16">
        <v>777</v>
      </c>
      <c r="B778" s="16" t="s">
        <v>1641</v>
      </c>
      <c r="C778" s="16" t="str">
        <f>"V4620155047001"</f>
        <v>V4620155047001</v>
      </c>
      <c r="D778" s="16" t="s">
        <v>4327</v>
      </c>
      <c r="E778" s="16" t="s">
        <v>4293</v>
      </c>
      <c r="F778" s="21">
        <v>9780071768047</v>
      </c>
      <c r="G778" s="16" t="s">
        <v>1808</v>
      </c>
      <c r="H778" s="16" t="s">
        <v>13</v>
      </c>
      <c r="I778" s="16">
        <v>2015</v>
      </c>
      <c r="J778" s="16" t="s">
        <v>4328</v>
      </c>
      <c r="K778" s="16" t="s">
        <v>38</v>
      </c>
      <c r="L778" s="16" t="s">
        <v>15</v>
      </c>
      <c r="M778" s="16" t="s">
        <v>4329</v>
      </c>
      <c r="N778" s="16"/>
      <c r="O778" s="16"/>
    </row>
    <row r="779" spans="1:15" x14ac:dyDescent="0.3">
      <c r="A779" s="16">
        <v>778</v>
      </c>
      <c r="B779" s="16" t="s">
        <v>1641</v>
      </c>
      <c r="C779" s="16" t="str">
        <f>"V4620155048001"</f>
        <v>V4620155048001</v>
      </c>
      <c r="D779" s="16" t="s">
        <v>4330</v>
      </c>
      <c r="E779" s="16" t="s">
        <v>4293</v>
      </c>
      <c r="F779" s="21">
        <v>9780071768047</v>
      </c>
      <c r="G779" s="16" t="s">
        <v>1808</v>
      </c>
      <c r="H779" s="16" t="s">
        <v>13</v>
      </c>
      <c r="I779" s="16">
        <v>2015</v>
      </c>
      <c r="J779" s="16" t="s">
        <v>4331</v>
      </c>
      <c r="K779" s="16" t="s">
        <v>38</v>
      </c>
      <c r="L779" s="16" t="s">
        <v>15</v>
      </c>
      <c r="M779" s="16" t="s">
        <v>4332</v>
      </c>
      <c r="N779" s="16"/>
      <c r="O779" s="16"/>
    </row>
    <row r="780" spans="1:15" x14ac:dyDescent="0.3">
      <c r="A780" s="16">
        <v>779</v>
      </c>
      <c r="B780" s="16" t="s">
        <v>1641</v>
      </c>
      <c r="C780" s="16" t="str">
        <f>"V4620155049001"</f>
        <v>V4620155049001</v>
      </c>
      <c r="D780" s="16" t="s">
        <v>4333</v>
      </c>
      <c r="E780" s="16" t="s">
        <v>4293</v>
      </c>
      <c r="F780" s="21">
        <v>9780071768047</v>
      </c>
      <c r="G780" s="16" t="s">
        <v>1808</v>
      </c>
      <c r="H780" s="16" t="s">
        <v>13</v>
      </c>
      <c r="I780" s="16">
        <v>2015</v>
      </c>
      <c r="J780" s="16" t="s">
        <v>4334</v>
      </c>
      <c r="K780" s="16" t="s">
        <v>526</v>
      </c>
      <c r="L780" s="16" t="s">
        <v>15</v>
      </c>
      <c r="M780" s="16" t="s">
        <v>4335</v>
      </c>
      <c r="N780" s="16"/>
      <c r="O780" s="16"/>
    </row>
    <row r="781" spans="1:15" x14ac:dyDescent="0.3">
      <c r="A781" s="16">
        <v>780</v>
      </c>
      <c r="B781" s="16" t="s">
        <v>1641</v>
      </c>
      <c r="C781" s="16" t="str">
        <f>"V4620155050001"</f>
        <v>V4620155050001</v>
      </c>
      <c r="D781" s="16" t="s">
        <v>4336</v>
      </c>
      <c r="E781" s="16" t="s">
        <v>4293</v>
      </c>
      <c r="F781" s="21">
        <v>9780071768047</v>
      </c>
      <c r="G781" s="16" t="s">
        <v>1808</v>
      </c>
      <c r="H781" s="16" t="s">
        <v>13</v>
      </c>
      <c r="I781" s="16">
        <v>2015</v>
      </c>
      <c r="J781" s="16" t="s">
        <v>4337</v>
      </c>
      <c r="K781" s="16" t="s">
        <v>4338</v>
      </c>
      <c r="L781" s="16" t="s">
        <v>15</v>
      </c>
      <c r="M781" s="16" t="s">
        <v>4339</v>
      </c>
      <c r="N781" s="16"/>
      <c r="O781" s="16"/>
    </row>
    <row r="782" spans="1:15" x14ac:dyDescent="0.3">
      <c r="A782" s="16">
        <v>781</v>
      </c>
      <c r="B782" s="16" t="s">
        <v>1641</v>
      </c>
      <c r="C782" s="16" t="str">
        <f>"V4620171674001"</f>
        <v>V4620171674001</v>
      </c>
      <c r="D782" s="16" t="s">
        <v>4340</v>
      </c>
      <c r="E782" s="16" t="s">
        <v>4293</v>
      </c>
      <c r="F782" s="21">
        <v>9780071768047</v>
      </c>
      <c r="G782" s="16" t="s">
        <v>1808</v>
      </c>
      <c r="H782" s="16" t="s">
        <v>13</v>
      </c>
      <c r="I782" s="16">
        <v>2015</v>
      </c>
      <c r="J782" s="16" t="s">
        <v>4341</v>
      </c>
      <c r="K782" s="16" t="s">
        <v>4342</v>
      </c>
      <c r="L782" s="16" t="s">
        <v>15</v>
      </c>
      <c r="M782" s="16" t="s">
        <v>4343</v>
      </c>
      <c r="N782" s="16"/>
      <c r="O782" s="16"/>
    </row>
    <row r="783" spans="1:15" x14ac:dyDescent="0.3">
      <c r="A783" s="16">
        <v>782</v>
      </c>
      <c r="B783" s="16" t="s">
        <v>1641</v>
      </c>
      <c r="C783" s="16" t="str">
        <f>"V4768134735001"</f>
        <v>V4768134735001</v>
      </c>
      <c r="D783" s="16" t="s">
        <v>4344</v>
      </c>
      <c r="E783" s="16" t="s">
        <v>4345</v>
      </c>
      <c r="F783" s="21">
        <v>9780071842419</v>
      </c>
      <c r="G783" s="16" t="s">
        <v>4006</v>
      </c>
      <c r="H783" s="16" t="s">
        <v>13</v>
      </c>
      <c r="I783" s="16">
        <v>2016</v>
      </c>
      <c r="J783" s="16" t="s">
        <v>4346</v>
      </c>
      <c r="K783" s="16" t="s">
        <v>721</v>
      </c>
      <c r="L783" s="16" t="s">
        <v>15</v>
      </c>
      <c r="M783" s="16" t="s">
        <v>4347</v>
      </c>
      <c r="N783" s="16"/>
      <c r="O783" s="16"/>
    </row>
    <row r="784" spans="1:15" x14ac:dyDescent="0.3">
      <c r="A784" s="16">
        <v>783</v>
      </c>
      <c r="B784" s="16" t="s">
        <v>1641</v>
      </c>
      <c r="C784" s="16" t="str">
        <f>"V4768134736001"</f>
        <v>V4768134736001</v>
      </c>
      <c r="D784" s="16" t="s">
        <v>4348</v>
      </c>
      <c r="E784" s="16" t="s">
        <v>4345</v>
      </c>
      <c r="F784" s="21">
        <v>9780071842419</v>
      </c>
      <c r="G784" s="16" t="s">
        <v>4006</v>
      </c>
      <c r="H784" s="16" t="s">
        <v>13</v>
      </c>
      <c r="I784" s="16">
        <v>2016</v>
      </c>
      <c r="J784" s="16" t="s">
        <v>4346</v>
      </c>
      <c r="K784" s="16" t="s">
        <v>721</v>
      </c>
      <c r="L784" s="16" t="s">
        <v>15</v>
      </c>
      <c r="M784" s="16" t="s">
        <v>4349</v>
      </c>
      <c r="N784" s="16"/>
      <c r="O784" s="16"/>
    </row>
    <row r="785" spans="1:15" x14ac:dyDescent="0.3">
      <c r="A785" s="16">
        <v>784</v>
      </c>
      <c r="B785" s="16" t="s">
        <v>1641</v>
      </c>
      <c r="C785" s="16" t="str">
        <f>"V4768134737001"</f>
        <v>V4768134737001</v>
      </c>
      <c r="D785" s="16" t="s">
        <v>4350</v>
      </c>
      <c r="E785" s="16" t="s">
        <v>4345</v>
      </c>
      <c r="F785" s="21">
        <v>9780071842419</v>
      </c>
      <c r="G785" s="16" t="s">
        <v>4006</v>
      </c>
      <c r="H785" s="16" t="s">
        <v>13</v>
      </c>
      <c r="I785" s="16">
        <v>2016</v>
      </c>
      <c r="J785" s="16" t="s">
        <v>4346</v>
      </c>
      <c r="K785" s="16" t="s">
        <v>721</v>
      </c>
      <c r="L785" s="16" t="s">
        <v>15</v>
      </c>
      <c r="M785" s="16" t="s">
        <v>4351</v>
      </c>
      <c r="N785" s="16"/>
      <c r="O785" s="16"/>
    </row>
    <row r="786" spans="1:15" x14ac:dyDescent="0.3">
      <c r="A786" s="16">
        <v>785</v>
      </c>
      <c r="B786" s="16" t="s">
        <v>1641</v>
      </c>
      <c r="C786" s="16" t="str">
        <f>"V4768134738001"</f>
        <v>V4768134738001</v>
      </c>
      <c r="D786" s="16" t="s">
        <v>4352</v>
      </c>
      <c r="E786" s="16" t="s">
        <v>4345</v>
      </c>
      <c r="F786" s="21">
        <v>9780071842419</v>
      </c>
      <c r="G786" s="16" t="s">
        <v>4006</v>
      </c>
      <c r="H786" s="16" t="s">
        <v>13</v>
      </c>
      <c r="I786" s="16">
        <v>2016</v>
      </c>
      <c r="J786" s="16" t="s">
        <v>4346</v>
      </c>
      <c r="K786" s="16" t="s">
        <v>721</v>
      </c>
      <c r="L786" s="16" t="s">
        <v>15</v>
      </c>
      <c r="M786" s="16" t="s">
        <v>4353</v>
      </c>
      <c r="N786" s="16"/>
      <c r="O786" s="16"/>
    </row>
    <row r="787" spans="1:15" x14ac:dyDescent="0.3">
      <c r="A787" s="16">
        <v>786</v>
      </c>
      <c r="B787" s="16" t="s">
        <v>1641</v>
      </c>
      <c r="C787" s="16" t="str">
        <f>"V4768134739001"</f>
        <v>V4768134739001</v>
      </c>
      <c r="D787" s="16" t="s">
        <v>4354</v>
      </c>
      <c r="E787" s="16" t="s">
        <v>4345</v>
      </c>
      <c r="F787" s="21">
        <v>9780071842419</v>
      </c>
      <c r="G787" s="16" t="s">
        <v>4006</v>
      </c>
      <c r="H787" s="16" t="s">
        <v>13</v>
      </c>
      <c r="I787" s="16">
        <v>2016</v>
      </c>
      <c r="J787" s="16" t="s">
        <v>4346</v>
      </c>
      <c r="K787" s="16" t="s">
        <v>721</v>
      </c>
      <c r="L787" s="16" t="s">
        <v>15</v>
      </c>
      <c r="M787" s="16" t="s">
        <v>4355</v>
      </c>
      <c r="N787" s="16"/>
      <c r="O787" s="16"/>
    </row>
    <row r="788" spans="1:15" x14ac:dyDescent="0.3">
      <c r="A788" s="16">
        <v>787</v>
      </c>
      <c r="B788" s="16" t="s">
        <v>1641</v>
      </c>
      <c r="C788" s="16" t="str">
        <f>"V4768134740001"</f>
        <v>V4768134740001</v>
      </c>
      <c r="D788" s="16" t="s">
        <v>4356</v>
      </c>
      <c r="E788" s="16" t="s">
        <v>4345</v>
      </c>
      <c r="F788" s="21">
        <v>9780071842419</v>
      </c>
      <c r="G788" s="16" t="s">
        <v>4006</v>
      </c>
      <c r="H788" s="16" t="s">
        <v>13</v>
      </c>
      <c r="I788" s="16">
        <v>2016</v>
      </c>
      <c r="J788" s="16" t="s">
        <v>4357</v>
      </c>
      <c r="K788" s="16" t="s">
        <v>28</v>
      </c>
      <c r="L788" s="16" t="s">
        <v>15</v>
      </c>
      <c r="M788" s="16" t="s">
        <v>4358</v>
      </c>
      <c r="N788" s="16"/>
      <c r="O788" s="16"/>
    </row>
    <row r="789" spans="1:15" x14ac:dyDescent="0.3">
      <c r="A789" s="16">
        <v>788</v>
      </c>
      <c r="B789" s="16" t="s">
        <v>1641</v>
      </c>
      <c r="C789" s="16" t="str">
        <f>"V4768134741001"</f>
        <v>V4768134741001</v>
      </c>
      <c r="D789" s="16" t="s">
        <v>4359</v>
      </c>
      <c r="E789" s="16" t="s">
        <v>4345</v>
      </c>
      <c r="F789" s="21">
        <v>9780071842419</v>
      </c>
      <c r="G789" s="16" t="s">
        <v>4006</v>
      </c>
      <c r="H789" s="16" t="s">
        <v>13</v>
      </c>
      <c r="I789" s="16">
        <v>2016</v>
      </c>
      <c r="J789" s="16" t="s">
        <v>4346</v>
      </c>
      <c r="K789" s="16" t="s">
        <v>721</v>
      </c>
      <c r="L789" s="16" t="s">
        <v>15</v>
      </c>
      <c r="M789" s="16" t="s">
        <v>4360</v>
      </c>
      <c r="N789" s="16"/>
      <c r="O789" s="16"/>
    </row>
    <row r="790" spans="1:15" x14ac:dyDescent="0.3">
      <c r="A790" s="16">
        <v>789</v>
      </c>
      <c r="B790" s="16" t="s">
        <v>1641</v>
      </c>
      <c r="C790" s="16" t="str">
        <f>"V4768134742001"</f>
        <v>V4768134742001</v>
      </c>
      <c r="D790" s="16" t="s">
        <v>4361</v>
      </c>
      <c r="E790" s="16" t="s">
        <v>4345</v>
      </c>
      <c r="F790" s="21">
        <v>9780071842419</v>
      </c>
      <c r="G790" s="16" t="s">
        <v>4006</v>
      </c>
      <c r="H790" s="16" t="s">
        <v>13</v>
      </c>
      <c r="I790" s="16">
        <v>2016</v>
      </c>
      <c r="J790" s="16" t="s">
        <v>4346</v>
      </c>
      <c r="K790" s="16" t="s">
        <v>721</v>
      </c>
      <c r="L790" s="16" t="s">
        <v>15</v>
      </c>
      <c r="M790" s="16" t="s">
        <v>4362</v>
      </c>
      <c r="N790" s="16"/>
      <c r="O790" s="16"/>
    </row>
    <row r="791" spans="1:15" x14ac:dyDescent="0.3">
      <c r="A791" s="16">
        <v>790</v>
      </c>
      <c r="B791" s="16" t="s">
        <v>1641</v>
      </c>
      <c r="C791" s="16" t="str">
        <f>"V4768134744001"</f>
        <v>V4768134744001</v>
      </c>
      <c r="D791" s="16" t="s">
        <v>4363</v>
      </c>
      <c r="E791" s="16" t="s">
        <v>4345</v>
      </c>
      <c r="F791" s="21">
        <v>9780071842419</v>
      </c>
      <c r="G791" s="16" t="s">
        <v>4006</v>
      </c>
      <c r="H791" s="16" t="s">
        <v>13</v>
      </c>
      <c r="I791" s="16">
        <v>2016</v>
      </c>
      <c r="J791" s="16" t="s">
        <v>4346</v>
      </c>
      <c r="K791" s="16" t="s">
        <v>721</v>
      </c>
      <c r="L791" s="16" t="s">
        <v>15</v>
      </c>
      <c r="M791" s="16" t="s">
        <v>4364</v>
      </c>
      <c r="N791" s="16"/>
      <c r="O791" s="16"/>
    </row>
    <row r="792" spans="1:15" x14ac:dyDescent="0.3">
      <c r="A792" s="16">
        <v>791</v>
      </c>
      <c r="B792" s="16" t="s">
        <v>1641</v>
      </c>
      <c r="C792" s="16" t="str">
        <f>"V4768134745001"</f>
        <v>V4768134745001</v>
      </c>
      <c r="D792" s="16" t="s">
        <v>4365</v>
      </c>
      <c r="E792" s="16" t="s">
        <v>4345</v>
      </c>
      <c r="F792" s="21">
        <v>9780071842419</v>
      </c>
      <c r="G792" s="16" t="s">
        <v>4006</v>
      </c>
      <c r="H792" s="16" t="s">
        <v>13</v>
      </c>
      <c r="I792" s="16">
        <v>2016</v>
      </c>
      <c r="J792" s="16" t="s">
        <v>4346</v>
      </c>
      <c r="K792" s="16" t="s">
        <v>721</v>
      </c>
      <c r="L792" s="16" t="s">
        <v>15</v>
      </c>
      <c r="M792" s="16" t="s">
        <v>4366</v>
      </c>
      <c r="N792" s="16"/>
      <c r="O792" s="16"/>
    </row>
    <row r="793" spans="1:15" x14ac:dyDescent="0.3">
      <c r="A793" s="16">
        <v>792</v>
      </c>
      <c r="B793" s="16" t="s">
        <v>1641</v>
      </c>
      <c r="C793" s="16" t="str">
        <f>"V4768134746001"</f>
        <v>V4768134746001</v>
      </c>
      <c r="D793" s="16" t="s">
        <v>4367</v>
      </c>
      <c r="E793" s="16" t="s">
        <v>4345</v>
      </c>
      <c r="F793" s="21">
        <v>9780071842419</v>
      </c>
      <c r="G793" s="16" t="s">
        <v>4006</v>
      </c>
      <c r="H793" s="16" t="s">
        <v>13</v>
      </c>
      <c r="I793" s="16">
        <v>2016</v>
      </c>
      <c r="J793" s="16" t="s">
        <v>4346</v>
      </c>
      <c r="K793" s="16" t="s">
        <v>721</v>
      </c>
      <c r="L793" s="16" t="s">
        <v>15</v>
      </c>
      <c r="M793" s="16" t="s">
        <v>4368</v>
      </c>
      <c r="N793" s="16"/>
      <c r="O793" s="16"/>
    </row>
    <row r="794" spans="1:15" x14ac:dyDescent="0.3">
      <c r="A794" s="16">
        <v>793</v>
      </c>
      <c r="B794" s="16" t="s">
        <v>1641</v>
      </c>
      <c r="C794" s="16" t="str">
        <f>"V4768153294001"</f>
        <v>V4768153294001</v>
      </c>
      <c r="D794" s="16" t="s">
        <v>4369</v>
      </c>
      <c r="E794" s="16" t="s">
        <v>4345</v>
      </c>
      <c r="F794" s="21">
        <v>9780071842419</v>
      </c>
      <c r="G794" s="16" t="s">
        <v>4006</v>
      </c>
      <c r="H794" s="16" t="s">
        <v>13</v>
      </c>
      <c r="I794" s="16">
        <v>2016</v>
      </c>
      <c r="J794" s="16" t="s">
        <v>4346</v>
      </c>
      <c r="K794" s="16" t="s">
        <v>721</v>
      </c>
      <c r="L794" s="16" t="s">
        <v>15</v>
      </c>
      <c r="M794" s="16" t="s">
        <v>4370</v>
      </c>
      <c r="N794" s="16"/>
      <c r="O794" s="16"/>
    </row>
    <row r="795" spans="1:15" x14ac:dyDescent="0.3">
      <c r="A795" s="16">
        <v>794</v>
      </c>
      <c r="B795" s="16" t="s">
        <v>1641</v>
      </c>
      <c r="C795" s="16" t="str">
        <f>"V4768153295001"</f>
        <v>V4768153295001</v>
      </c>
      <c r="D795" s="16" t="s">
        <v>4371</v>
      </c>
      <c r="E795" s="16" t="s">
        <v>4345</v>
      </c>
      <c r="F795" s="21">
        <v>9780071842419</v>
      </c>
      <c r="G795" s="16" t="s">
        <v>4006</v>
      </c>
      <c r="H795" s="16" t="s">
        <v>13</v>
      </c>
      <c r="I795" s="16">
        <v>2016</v>
      </c>
      <c r="J795" s="16" t="s">
        <v>4346</v>
      </c>
      <c r="K795" s="16" t="s">
        <v>721</v>
      </c>
      <c r="L795" s="16" t="s">
        <v>15</v>
      </c>
      <c r="M795" s="16" t="s">
        <v>4372</v>
      </c>
      <c r="N795" s="16"/>
      <c r="O795" s="16"/>
    </row>
    <row r="796" spans="1:15" x14ac:dyDescent="0.3">
      <c r="A796" s="16">
        <v>795</v>
      </c>
      <c r="B796" s="16" t="s">
        <v>1641</v>
      </c>
      <c r="C796" s="16" t="str">
        <f>"V4768153296001"</f>
        <v>V4768153296001</v>
      </c>
      <c r="D796" s="16" t="s">
        <v>4373</v>
      </c>
      <c r="E796" s="16" t="s">
        <v>4345</v>
      </c>
      <c r="F796" s="21">
        <v>9780071842419</v>
      </c>
      <c r="G796" s="16" t="s">
        <v>4006</v>
      </c>
      <c r="H796" s="16" t="s">
        <v>13</v>
      </c>
      <c r="I796" s="16">
        <v>2016</v>
      </c>
      <c r="J796" s="16" t="s">
        <v>4346</v>
      </c>
      <c r="K796" s="16" t="s">
        <v>721</v>
      </c>
      <c r="L796" s="16" t="s">
        <v>15</v>
      </c>
      <c r="M796" s="16" t="s">
        <v>4374</v>
      </c>
      <c r="N796" s="16"/>
      <c r="O796" s="16"/>
    </row>
    <row r="797" spans="1:15" x14ac:dyDescent="0.3">
      <c r="A797" s="16">
        <v>796</v>
      </c>
      <c r="B797" s="16" t="s">
        <v>1641</v>
      </c>
      <c r="C797" s="16" t="str">
        <f>"V4768153298001"</f>
        <v>V4768153298001</v>
      </c>
      <c r="D797" s="16" t="s">
        <v>4375</v>
      </c>
      <c r="E797" s="16" t="s">
        <v>4345</v>
      </c>
      <c r="F797" s="21">
        <v>9780071842419</v>
      </c>
      <c r="G797" s="16" t="s">
        <v>4006</v>
      </c>
      <c r="H797" s="16" t="s">
        <v>13</v>
      </c>
      <c r="I797" s="16">
        <v>2016</v>
      </c>
      <c r="J797" s="16" t="s">
        <v>4346</v>
      </c>
      <c r="K797" s="16" t="s">
        <v>721</v>
      </c>
      <c r="L797" s="16" t="s">
        <v>15</v>
      </c>
      <c r="M797" s="16" t="s">
        <v>4376</v>
      </c>
      <c r="N797" s="16"/>
      <c r="O797" s="16"/>
    </row>
    <row r="798" spans="1:15" x14ac:dyDescent="0.3">
      <c r="A798" s="16">
        <v>797</v>
      </c>
      <c r="B798" s="16" t="s">
        <v>1641</v>
      </c>
      <c r="C798" s="16" t="str">
        <f>"V4768153299001"</f>
        <v>V4768153299001</v>
      </c>
      <c r="D798" s="16" t="s">
        <v>4377</v>
      </c>
      <c r="E798" s="16"/>
      <c r="F798" s="21">
        <v>9780071842419</v>
      </c>
      <c r="G798" s="16" t="s">
        <v>4006</v>
      </c>
      <c r="H798" s="16" t="s">
        <v>13</v>
      </c>
      <c r="I798" s="16">
        <v>2016</v>
      </c>
      <c r="J798" s="16" t="s">
        <v>4346</v>
      </c>
      <c r="K798" s="16" t="s">
        <v>721</v>
      </c>
      <c r="L798" s="16" t="s">
        <v>15</v>
      </c>
      <c r="M798" s="16" t="s">
        <v>4378</v>
      </c>
      <c r="N798" s="16"/>
      <c r="O798" s="16"/>
    </row>
    <row r="799" spans="1:15" x14ac:dyDescent="0.3">
      <c r="A799" s="16">
        <v>798</v>
      </c>
      <c r="B799" s="16" t="s">
        <v>1641</v>
      </c>
      <c r="C799" s="16" t="str">
        <f>"V4768153300001"</f>
        <v>V4768153300001</v>
      </c>
      <c r="D799" s="16" t="s">
        <v>4379</v>
      </c>
      <c r="E799" s="16" t="s">
        <v>4345</v>
      </c>
      <c r="F799" s="21">
        <v>9780071842419</v>
      </c>
      <c r="G799" s="16" t="s">
        <v>4006</v>
      </c>
      <c r="H799" s="16" t="s">
        <v>13</v>
      </c>
      <c r="I799" s="16">
        <v>2016</v>
      </c>
      <c r="J799" s="16" t="s">
        <v>4346</v>
      </c>
      <c r="K799" s="16" t="s">
        <v>721</v>
      </c>
      <c r="L799" s="16" t="s">
        <v>15</v>
      </c>
      <c r="M799" s="16" t="s">
        <v>4380</v>
      </c>
      <c r="N799" s="16"/>
      <c r="O799" s="16"/>
    </row>
    <row r="800" spans="1:15" x14ac:dyDescent="0.3">
      <c r="A800" s="16">
        <v>799</v>
      </c>
      <c r="B800" s="16" t="s">
        <v>1641</v>
      </c>
      <c r="C800" s="16" t="str">
        <f>"V4768180275001"</f>
        <v>V4768180275001</v>
      </c>
      <c r="D800" s="16" t="s">
        <v>4381</v>
      </c>
      <c r="E800" s="16" t="s">
        <v>4345</v>
      </c>
      <c r="F800" s="21">
        <v>9780071842419</v>
      </c>
      <c r="G800" s="16" t="s">
        <v>4006</v>
      </c>
      <c r="H800" s="16" t="s">
        <v>13</v>
      </c>
      <c r="I800" s="16">
        <v>2016</v>
      </c>
      <c r="J800" s="16" t="s">
        <v>4346</v>
      </c>
      <c r="K800" s="16" t="s">
        <v>721</v>
      </c>
      <c r="L800" s="16" t="s">
        <v>15</v>
      </c>
      <c r="M800" s="16" t="s">
        <v>4382</v>
      </c>
      <c r="N800" s="16"/>
      <c r="O800" s="16"/>
    </row>
    <row r="801" spans="1:15" x14ac:dyDescent="0.3">
      <c r="A801" s="16">
        <v>800</v>
      </c>
      <c r="B801" s="16" t="s">
        <v>1641</v>
      </c>
      <c r="C801" s="16" t="str">
        <f>"V4768180276001"</f>
        <v>V4768180276001</v>
      </c>
      <c r="D801" s="16" t="s">
        <v>4383</v>
      </c>
      <c r="E801" s="16" t="s">
        <v>4345</v>
      </c>
      <c r="F801" s="21">
        <v>9780071842419</v>
      </c>
      <c r="G801" s="16" t="s">
        <v>4006</v>
      </c>
      <c r="H801" s="16" t="s">
        <v>13</v>
      </c>
      <c r="I801" s="16">
        <v>2016</v>
      </c>
      <c r="J801" s="16" t="s">
        <v>4346</v>
      </c>
      <c r="K801" s="16" t="s">
        <v>721</v>
      </c>
      <c r="L801" s="16" t="s">
        <v>15</v>
      </c>
      <c r="M801" s="16" t="s">
        <v>4384</v>
      </c>
      <c r="N801" s="16"/>
      <c r="O801" s="16"/>
    </row>
    <row r="802" spans="1:15" x14ac:dyDescent="0.3">
      <c r="A802" s="16">
        <v>801</v>
      </c>
      <c r="B802" s="16" t="s">
        <v>1641</v>
      </c>
      <c r="C802" s="16" t="str">
        <f>"V4768180279001"</f>
        <v>V4768180279001</v>
      </c>
      <c r="D802" s="16" t="s">
        <v>4385</v>
      </c>
      <c r="E802" s="16" t="s">
        <v>4345</v>
      </c>
      <c r="F802" s="21">
        <v>9780071842419</v>
      </c>
      <c r="G802" s="16" t="s">
        <v>4006</v>
      </c>
      <c r="H802" s="16" t="s">
        <v>13</v>
      </c>
      <c r="I802" s="16">
        <v>2016</v>
      </c>
      <c r="J802" s="16" t="s">
        <v>4346</v>
      </c>
      <c r="K802" s="16" t="s">
        <v>721</v>
      </c>
      <c r="L802" s="16" t="s">
        <v>15</v>
      </c>
      <c r="M802" s="16" t="s">
        <v>4386</v>
      </c>
      <c r="N802" s="16"/>
      <c r="O802" s="16"/>
    </row>
    <row r="803" spans="1:15" x14ac:dyDescent="0.3">
      <c r="A803" s="16">
        <v>802</v>
      </c>
      <c r="B803" s="16" t="s">
        <v>1641</v>
      </c>
      <c r="C803" s="16" t="str">
        <f>"V4768289487001"</f>
        <v>V4768289487001</v>
      </c>
      <c r="D803" s="16" t="s">
        <v>4387</v>
      </c>
      <c r="E803" s="16" t="s">
        <v>4345</v>
      </c>
      <c r="F803" s="21">
        <v>9780071842419</v>
      </c>
      <c r="G803" s="16" t="s">
        <v>4006</v>
      </c>
      <c r="H803" s="16" t="s">
        <v>13</v>
      </c>
      <c r="I803" s="16">
        <v>2016</v>
      </c>
      <c r="J803" s="16" t="s">
        <v>4346</v>
      </c>
      <c r="K803" s="16" t="s">
        <v>721</v>
      </c>
      <c r="L803" s="16" t="s">
        <v>15</v>
      </c>
      <c r="M803" s="16" t="s">
        <v>4388</v>
      </c>
      <c r="N803" s="16"/>
      <c r="O803" s="16"/>
    </row>
    <row r="804" spans="1:15" x14ac:dyDescent="0.3">
      <c r="A804" s="16">
        <v>803</v>
      </c>
      <c r="B804" s="16" t="s">
        <v>1641</v>
      </c>
      <c r="C804" s="16" t="str">
        <f>"V4768289489001"</f>
        <v>V4768289489001</v>
      </c>
      <c r="D804" s="16" t="s">
        <v>4389</v>
      </c>
      <c r="E804" s="16" t="s">
        <v>4345</v>
      </c>
      <c r="F804" s="21">
        <v>9780071842419</v>
      </c>
      <c r="G804" s="16" t="s">
        <v>4006</v>
      </c>
      <c r="H804" s="16" t="s">
        <v>13</v>
      </c>
      <c r="I804" s="16">
        <v>2016</v>
      </c>
      <c r="J804" s="16" t="s">
        <v>4346</v>
      </c>
      <c r="K804" s="16" t="s">
        <v>721</v>
      </c>
      <c r="L804" s="16" t="s">
        <v>15</v>
      </c>
      <c r="M804" s="16" t="s">
        <v>4390</v>
      </c>
      <c r="N804" s="16"/>
      <c r="O804" s="16"/>
    </row>
    <row r="805" spans="1:15" x14ac:dyDescent="0.3">
      <c r="A805" s="16">
        <v>804</v>
      </c>
      <c r="B805" s="16" t="s">
        <v>1641</v>
      </c>
      <c r="C805" s="16" t="str">
        <f>"V4768289490001"</f>
        <v>V4768289490001</v>
      </c>
      <c r="D805" s="16" t="s">
        <v>4391</v>
      </c>
      <c r="E805" s="16" t="s">
        <v>4345</v>
      </c>
      <c r="F805" s="21">
        <v>9780071842419</v>
      </c>
      <c r="G805" s="16" t="s">
        <v>4006</v>
      </c>
      <c r="H805" s="16" t="s">
        <v>13</v>
      </c>
      <c r="I805" s="16">
        <v>2016</v>
      </c>
      <c r="J805" s="16" t="s">
        <v>4346</v>
      </c>
      <c r="K805" s="16" t="s">
        <v>721</v>
      </c>
      <c r="L805" s="16" t="s">
        <v>15</v>
      </c>
      <c r="M805" s="16" t="s">
        <v>4392</v>
      </c>
      <c r="N805" s="16"/>
      <c r="O805" s="16"/>
    </row>
    <row r="806" spans="1:15" x14ac:dyDescent="0.3">
      <c r="A806" s="16">
        <v>805</v>
      </c>
      <c r="B806" s="16" t="s">
        <v>1641</v>
      </c>
      <c r="C806" s="16" t="str">
        <f>"V4768289493001"</f>
        <v>V4768289493001</v>
      </c>
      <c r="D806" s="16" t="s">
        <v>4393</v>
      </c>
      <c r="E806" s="16" t="s">
        <v>4345</v>
      </c>
      <c r="F806" s="21">
        <v>9780071842419</v>
      </c>
      <c r="G806" s="16" t="s">
        <v>4006</v>
      </c>
      <c r="H806" s="16" t="s">
        <v>13</v>
      </c>
      <c r="I806" s="16">
        <v>2016</v>
      </c>
      <c r="J806" s="16" t="s">
        <v>4346</v>
      </c>
      <c r="K806" s="16" t="s">
        <v>721</v>
      </c>
      <c r="L806" s="16" t="s">
        <v>15</v>
      </c>
      <c r="M806" s="16" t="s">
        <v>4394</v>
      </c>
      <c r="N806" s="16"/>
      <c r="O806" s="16"/>
    </row>
    <row r="807" spans="1:15" x14ac:dyDescent="0.3">
      <c r="A807" s="16">
        <v>806</v>
      </c>
      <c r="B807" s="16" t="s">
        <v>1641</v>
      </c>
      <c r="C807" s="16" t="str">
        <f>"V4768289495001"</f>
        <v>V4768289495001</v>
      </c>
      <c r="D807" s="16" t="s">
        <v>4395</v>
      </c>
      <c r="E807" s="16" t="s">
        <v>4345</v>
      </c>
      <c r="F807" s="21">
        <v>9780071842419</v>
      </c>
      <c r="G807" s="16" t="s">
        <v>4006</v>
      </c>
      <c r="H807" s="16" t="s">
        <v>13</v>
      </c>
      <c r="I807" s="16">
        <v>2016</v>
      </c>
      <c r="J807" s="16" t="s">
        <v>4346</v>
      </c>
      <c r="K807" s="16" t="s">
        <v>721</v>
      </c>
      <c r="L807" s="16" t="s">
        <v>15</v>
      </c>
      <c r="M807" s="16" t="s">
        <v>4396</v>
      </c>
      <c r="N807" s="16"/>
      <c r="O807" s="16"/>
    </row>
    <row r="808" spans="1:15" x14ac:dyDescent="0.3">
      <c r="A808" s="16">
        <v>807</v>
      </c>
      <c r="B808" s="16" t="s">
        <v>1641</v>
      </c>
      <c r="C808" s="16" t="str">
        <f>"V4768289496001"</f>
        <v>V4768289496001</v>
      </c>
      <c r="D808" s="16" t="s">
        <v>4397</v>
      </c>
      <c r="E808" s="16" t="s">
        <v>4345</v>
      </c>
      <c r="F808" s="21">
        <v>9780071842419</v>
      </c>
      <c r="G808" s="16" t="s">
        <v>4006</v>
      </c>
      <c r="H808" s="16" t="s">
        <v>13</v>
      </c>
      <c r="I808" s="16">
        <v>2016</v>
      </c>
      <c r="J808" s="16" t="s">
        <v>4346</v>
      </c>
      <c r="K808" s="16" t="s">
        <v>721</v>
      </c>
      <c r="L808" s="16" t="s">
        <v>15</v>
      </c>
      <c r="M808" s="16" t="s">
        <v>4398</v>
      </c>
      <c r="N808" s="16"/>
      <c r="O808" s="16"/>
    </row>
    <row r="809" spans="1:15" x14ac:dyDescent="0.3">
      <c r="A809" s="16">
        <v>808</v>
      </c>
      <c r="B809" s="16" t="s">
        <v>1641</v>
      </c>
      <c r="C809" s="16" t="str">
        <f>"V4768289497001"</f>
        <v>V4768289497001</v>
      </c>
      <c r="D809" s="16" t="s">
        <v>4399</v>
      </c>
      <c r="E809" s="16" t="s">
        <v>4345</v>
      </c>
      <c r="F809" s="21">
        <v>9780071842419</v>
      </c>
      <c r="G809" s="16" t="s">
        <v>4006</v>
      </c>
      <c r="H809" s="16" t="s">
        <v>13</v>
      </c>
      <c r="I809" s="16">
        <v>2016</v>
      </c>
      <c r="J809" s="16" t="s">
        <v>4346</v>
      </c>
      <c r="K809" s="16" t="s">
        <v>721</v>
      </c>
      <c r="L809" s="16" t="s">
        <v>15</v>
      </c>
      <c r="M809" s="16" t="s">
        <v>4400</v>
      </c>
      <c r="N809" s="16"/>
      <c r="O809" s="16"/>
    </row>
    <row r="810" spans="1:15" x14ac:dyDescent="0.3">
      <c r="A810" s="16">
        <v>809</v>
      </c>
      <c r="B810" s="16" t="s">
        <v>1641</v>
      </c>
      <c r="C810" s="16" t="str">
        <f>"V4768289500001"</f>
        <v>V4768289500001</v>
      </c>
      <c r="D810" s="16" t="s">
        <v>4401</v>
      </c>
      <c r="E810" s="16" t="s">
        <v>4345</v>
      </c>
      <c r="F810" s="21">
        <v>9780071842419</v>
      </c>
      <c r="G810" s="16" t="s">
        <v>4006</v>
      </c>
      <c r="H810" s="16" t="s">
        <v>13</v>
      </c>
      <c r="I810" s="16">
        <v>2016</v>
      </c>
      <c r="J810" s="16" t="s">
        <v>4346</v>
      </c>
      <c r="K810" s="16" t="s">
        <v>721</v>
      </c>
      <c r="L810" s="16" t="s">
        <v>15</v>
      </c>
      <c r="M810" s="16" t="s">
        <v>4402</v>
      </c>
      <c r="N810" s="16"/>
      <c r="O810" s="16"/>
    </row>
    <row r="811" spans="1:15" x14ac:dyDescent="0.3">
      <c r="A811" s="16">
        <v>810</v>
      </c>
      <c r="B811" s="16" t="s">
        <v>1641</v>
      </c>
      <c r="C811" s="16" t="str">
        <f>"V4768289503001"</f>
        <v>V4768289503001</v>
      </c>
      <c r="D811" s="16" t="s">
        <v>4403</v>
      </c>
      <c r="E811" s="16" t="s">
        <v>4345</v>
      </c>
      <c r="F811" s="21">
        <v>9780071842419</v>
      </c>
      <c r="G811" s="16" t="s">
        <v>4006</v>
      </c>
      <c r="H811" s="16" t="s">
        <v>13</v>
      </c>
      <c r="I811" s="16">
        <v>2016</v>
      </c>
      <c r="J811" s="16" t="s">
        <v>4346</v>
      </c>
      <c r="K811" s="16" t="s">
        <v>721</v>
      </c>
      <c r="L811" s="16" t="s">
        <v>15</v>
      </c>
      <c r="M811" s="16" t="s">
        <v>4404</v>
      </c>
      <c r="N811" s="16"/>
      <c r="O811" s="16"/>
    </row>
    <row r="812" spans="1:15" x14ac:dyDescent="0.3">
      <c r="A812" s="16">
        <v>811</v>
      </c>
      <c r="B812" s="16" t="s">
        <v>1641</v>
      </c>
      <c r="C812" s="16" t="str">
        <f>"V4810655019001"</f>
        <v>V4810655019001</v>
      </c>
      <c r="D812" s="16" t="s">
        <v>4405</v>
      </c>
      <c r="E812" s="16" t="s">
        <v>4406</v>
      </c>
      <c r="F812" s="21">
        <v>9781259586125</v>
      </c>
      <c r="G812" s="16" t="s">
        <v>4407</v>
      </c>
      <c r="H812" s="16" t="s">
        <v>13</v>
      </c>
      <c r="I812" s="16">
        <v>2016</v>
      </c>
      <c r="J812" s="16" t="s">
        <v>4408</v>
      </c>
      <c r="K812" s="16" t="s">
        <v>416</v>
      </c>
      <c r="L812" s="16" t="s">
        <v>15</v>
      </c>
      <c r="M812" s="16" t="s">
        <v>4409</v>
      </c>
      <c r="N812" s="16"/>
      <c r="O812" s="16"/>
    </row>
    <row r="813" spans="1:15" x14ac:dyDescent="0.3">
      <c r="A813" s="16">
        <v>812</v>
      </c>
      <c r="B813" s="16" t="s">
        <v>1641</v>
      </c>
      <c r="C813" s="16" t="str">
        <f>"V4810674913001"</f>
        <v>V4810674913001</v>
      </c>
      <c r="D813" s="16" t="s">
        <v>4410</v>
      </c>
      <c r="E813" s="16" t="s">
        <v>4406</v>
      </c>
      <c r="F813" s="21">
        <v>9781259586125</v>
      </c>
      <c r="G813" s="16" t="s">
        <v>4411</v>
      </c>
      <c r="H813" s="16" t="s">
        <v>13</v>
      </c>
      <c r="I813" s="16">
        <v>2015</v>
      </c>
      <c r="J813" s="16" t="s">
        <v>4412</v>
      </c>
      <c r="K813" s="16" t="s">
        <v>416</v>
      </c>
      <c r="L813" s="16" t="s">
        <v>15</v>
      </c>
      <c r="M813" s="16" t="s">
        <v>4413</v>
      </c>
      <c r="N813" s="16"/>
      <c r="O813" s="16"/>
    </row>
    <row r="814" spans="1:15" x14ac:dyDescent="0.3">
      <c r="A814" s="16">
        <v>813</v>
      </c>
      <c r="B814" s="16" t="s">
        <v>1641</v>
      </c>
      <c r="C814" s="16" t="str">
        <f>"V4810674916001"</f>
        <v>V4810674916001</v>
      </c>
      <c r="D814" s="16" t="s">
        <v>4414</v>
      </c>
      <c r="E814" s="16" t="s">
        <v>4406</v>
      </c>
      <c r="F814" s="21">
        <v>9781259586125</v>
      </c>
      <c r="G814" s="16" t="s">
        <v>4407</v>
      </c>
      <c r="H814" s="16" t="s">
        <v>13</v>
      </c>
      <c r="I814" s="16">
        <v>2016</v>
      </c>
      <c r="J814" s="16" t="s">
        <v>4415</v>
      </c>
      <c r="K814" s="16" t="s">
        <v>416</v>
      </c>
      <c r="L814" s="16" t="s">
        <v>15</v>
      </c>
      <c r="M814" s="16" t="s">
        <v>4416</v>
      </c>
      <c r="N814" s="16"/>
      <c r="O814" s="16"/>
    </row>
    <row r="815" spans="1:15" x14ac:dyDescent="0.3">
      <c r="A815" s="16">
        <v>814</v>
      </c>
      <c r="B815" s="16" t="s">
        <v>1641</v>
      </c>
      <c r="C815" s="16" t="str">
        <f>"V4810674917001"</f>
        <v>V4810674917001</v>
      </c>
      <c r="D815" s="16" t="s">
        <v>4417</v>
      </c>
      <c r="E815" s="16" t="s">
        <v>4406</v>
      </c>
      <c r="F815" s="21">
        <v>9781259586125</v>
      </c>
      <c r="G815" s="16" t="s">
        <v>4407</v>
      </c>
      <c r="H815" s="16" t="s">
        <v>13</v>
      </c>
      <c r="I815" s="16">
        <v>2016</v>
      </c>
      <c r="J815" s="16" t="s">
        <v>4418</v>
      </c>
      <c r="K815" s="16" t="s">
        <v>416</v>
      </c>
      <c r="L815" s="16" t="s">
        <v>15</v>
      </c>
      <c r="M815" s="16" t="s">
        <v>4419</v>
      </c>
      <c r="N815" s="16"/>
      <c r="O815" s="16"/>
    </row>
    <row r="816" spans="1:15" x14ac:dyDescent="0.3">
      <c r="A816" s="16">
        <v>815</v>
      </c>
      <c r="B816" s="16" t="s">
        <v>1641</v>
      </c>
      <c r="C816" s="16" t="str">
        <f>"V4810699110001"</f>
        <v>V4810699110001</v>
      </c>
      <c r="D816" s="16" t="s">
        <v>4420</v>
      </c>
      <c r="E816" s="16" t="s">
        <v>4406</v>
      </c>
      <c r="F816" s="21">
        <v>9781259586125</v>
      </c>
      <c r="G816" s="16" t="s">
        <v>4407</v>
      </c>
      <c r="H816" s="16" t="s">
        <v>13</v>
      </c>
      <c r="I816" s="16">
        <v>2016</v>
      </c>
      <c r="J816" s="16" t="s">
        <v>4421</v>
      </c>
      <c r="K816" s="16" t="s">
        <v>416</v>
      </c>
      <c r="L816" s="16" t="s">
        <v>15</v>
      </c>
      <c r="M816" s="16" t="s">
        <v>4422</v>
      </c>
      <c r="N816" s="16"/>
      <c r="O816" s="16"/>
    </row>
    <row r="817" spans="1:15" x14ac:dyDescent="0.3">
      <c r="A817" s="16">
        <v>816</v>
      </c>
      <c r="B817" s="16" t="s">
        <v>1641</v>
      </c>
      <c r="C817" s="16" t="str">
        <f>"V4810699111001"</f>
        <v>V4810699111001</v>
      </c>
      <c r="D817" s="16" t="s">
        <v>4423</v>
      </c>
      <c r="E817" s="16" t="s">
        <v>4406</v>
      </c>
      <c r="F817" s="21">
        <v>9781259586125</v>
      </c>
      <c r="G817" s="16" t="s">
        <v>4407</v>
      </c>
      <c r="H817" s="16" t="s">
        <v>13</v>
      </c>
      <c r="I817" s="16">
        <v>2016</v>
      </c>
      <c r="J817" s="16" t="s">
        <v>4424</v>
      </c>
      <c r="K817" s="16" t="s">
        <v>416</v>
      </c>
      <c r="L817" s="16" t="s">
        <v>15</v>
      </c>
      <c r="M817" s="16" t="s">
        <v>4425</v>
      </c>
      <c r="N817" s="16"/>
      <c r="O817" s="16"/>
    </row>
    <row r="818" spans="1:15" x14ac:dyDescent="0.3">
      <c r="A818" s="16">
        <v>817</v>
      </c>
      <c r="B818" s="16" t="s">
        <v>1641</v>
      </c>
      <c r="C818" s="16" t="str">
        <f>"V4810699112001"</f>
        <v>V4810699112001</v>
      </c>
      <c r="D818" s="16" t="s">
        <v>4426</v>
      </c>
      <c r="E818" s="16" t="s">
        <v>4406</v>
      </c>
      <c r="F818" s="21">
        <v>9781259586125</v>
      </c>
      <c r="G818" s="16" t="s">
        <v>4407</v>
      </c>
      <c r="H818" s="16" t="s">
        <v>13</v>
      </c>
      <c r="I818" s="16">
        <v>2016</v>
      </c>
      <c r="J818" s="16" t="s">
        <v>4427</v>
      </c>
      <c r="K818" s="16" t="s">
        <v>4428</v>
      </c>
      <c r="L818" s="16" t="s">
        <v>15</v>
      </c>
      <c r="M818" s="16" t="s">
        <v>4429</v>
      </c>
      <c r="N818" s="16"/>
      <c r="O818" s="16"/>
    </row>
    <row r="819" spans="1:15" x14ac:dyDescent="0.3">
      <c r="A819" s="16">
        <v>818</v>
      </c>
      <c r="B819" s="16" t="s">
        <v>1641</v>
      </c>
      <c r="C819" s="16" t="str">
        <f>"V4810699113001"</f>
        <v>V4810699113001</v>
      </c>
      <c r="D819" s="16" t="s">
        <v>4430</v>
      </c>
      <c r="E819" s="16" t="s">
        <v>4406</v>
      </c>
      <c r="F819" s="21">
        <v>9781259586125</v>
      </c>
      <c r="G819" s="16" t="s">
        <v>4411</v>
      </c>
      <c r="H819" s="16" t="s">
        <v>13</v>
      </c>
      <c r="I819" s="16">
        <v>2016</v>
      </c>
      <c r="J819" s="16" t="s">
        <v>4431</v>
      </c>
      <c r="K819" s="16" t="s">
        <v>4432</v>
      </c>
      <c r="L819" s="16" t="s">
        <v>15</v>
      </c>
      <c r="M819" s="16" t="s">
        <v>4433</v>
      </c>
      <c r="N819" s="16"/>
      <c r="O819" s="16"/>
    </row>
    <row r="820" spans="1:15" x14ac:dyDescent="0.3">
      <c r="A820" s="16">
        <v>819</v>
      </c>
      <c r="B820" s="16" t="s">
        <v>1641</v>
      </c>
      <c r="C820" s="16" t="str">
        <f>"V4810699114001"</f>
        <v>V4810699114001</v>
      </c>
      <c r="D820" s="16" t="s">
        <v>4434</v>
      </c>
      <c r="E820" s="16" t="s">
        <v>4406</v>
      </c>
      <c r="F820" s="21">
        <v>9781259586125</v>
      </c>
      <c r="G820" s="16" t="s">
        <v>4411</v>
      </c>
      <c r="H820" s="16" t="s">
        <v>13</v>
      </c>
      <c r="I820" s="16">
        <v>2016</v>
      </c>
      <c r="J820" s="16" t="s">
        <v>4435</v>
      </c>
      <c r="K820" s="16" t="s">
        <v>4097</v>
      </c>
      <c r="L820" s="16" t="s">
        <v>15</v>
      </c>
      <c r="M820" s="16" t="s">
        <v>4436</v>
      </c>
      <c r="N820" s="16"/>
      <c r="O820" s="16"/>
    </row>
    <row r="821" spans="1:15" x14ac:dyDescent="0.3">
      <c r="A821" s="16">
        <v>820</v>
      </c>
      <c r="B821" s="16" t="s">
        <v>1641</v>
      </c>
      <c r="C821" s="16" t="str">
        <f>"V4810703448001"</f>
        <v>V4810703448001</v>
      </c>
      <c r="D821" s="16" t="s">
        <v>4437</v>
      </c>
      <c r="E821" s="16" t="s">
        <v>4406</v>
      </c>
      <c r="F821" s="21">
        <v>9781259586125</v>
      </c>
      <c r="G821" s="16" t="s">
        <v>4407</v>
      </c>
      <c r="H821" s="16" t="s">
        <v>13</v>
      </c>
      <c r="I821" s="16">
        <v>2016</v>
      </c>
      <c r="J821" s="16" t="s">
        <v>4438</v>
      </c>
      <c r="K821" s="16" t="s">
        <v>4439</v>
      </c>
      <c r="L821" s="16" t="s">
        <v>15</v>
      </c>
      <c r="M821" s="16" t="s">
        <v>4440</v>
      </c>
      <c r="N821" s="16"/>
      <c r="O821" s="16"/>
    </row>
    <row r="822" spans="1:15" x14ac:dyDescent="0.3">
      <c r="A822" s="16">
        <v>821</v>
      </c>
      <c r="B822" s="16" t="s">
        <v>1641</v>
      </c>
      <c r="C822" s="16" t="str">
        <f>"V4810703449001"</f>
        <v>V4810703449001</v>
      </c>
      <c r="D822" s="16" t="s">
        <v>4441</v>
      </c>
      <c r="E822" s="16" t="s">
        <v>4406</v>
      </c>
      <c r="F822" s="21">
        <v>9781259586125</v>
      </c>
      <c r="G822" s="16" t="s">
        <v>4407</v>
      </c>
      <c r="H822" s="16" t="s">
        <v>13</v>
      </c>
      <c r="I822" s="16">
        <v>2016</v>
      </c>
      <c r="J822" s="16" t="s">
        <v>4442</v>
      </c>
      <c r="K822" s="16" t="s">
        <v>4443</v>
      </c>
      <c r="L822" s="16" t="s">
        <v>15</v>
      </c>
      <c r="M822" s="16" t="s">
        <v>4444</v>
      </c>
      <c r="N822" s="16"/>
      <c r="O822" s="16"/>
    </row>
    <row r="823" spans="1:15" x14ac:dyDescent="0.3">
      <c r="A823" s="16">
        <v>822</v>
      </c>
      <c r="B823" s="16" t="s">
        <v>1641</v>
      </c>
      <c r="C823" s="16" t="str">
        <f>"V4810703451001"</f>
        <v>V4810703451001</v>
      </c>
      <c r="D823" s="16" t="s">
        <v>4445</v>
      </c>
      <c r="E823" s="16" t="s">
        <v>4406</v>
      </c>
      <c r="F823" s="21">
        <v>9781259586125</v>
      </c>
      <c r="G823" s="16" t="s">
        <v>4407</v>
      </c>
      <c r="H823" s="16" t="s">
        <v>13</v>
      </c>
      <c r="I823" s="16">
        <v>2016</v>
      </c>
      <c r="J823" s="16" t="s">
        <v>4446</v>
      </c>
      <c r="K823" s="16" t="s">
        <v>4447</v>
      </c>
      <c r="L823" s="16" t="s">
        <v>15</v>
      </c>
      <c r="M823" s="16" t="s">
        <v>4448</v>
      </c>
      <c r="N823" s="16"/>
      <c r="O823" s="16"/>
    </row>
    <row r="824" spans="1:15" x14ac:dyDescent="0.3">
      <c r="A824" s="16">
        <v>823</v>
      </c>
      <c r="B824" s="16" t="s">
        <v>1641</v>
      </c>
      <c r="C824" s="16" t="str">
        <f>"V4810703454001"</f>
        <v>V4810703454001</v>
      </c>
      <c r="D824" s="16" t="s">
        <v>4449</v>
      </c>
      <c r="E824" s="16" t="s">
        <v>4406</v>
      </c>
      <c r="F824" s="21">
        <v>9781259586125</v>
      </c>
      <c r="G824" s="16" t="s">
        <v>4407</v>
      </c>
      <c r="H824" s="16" t="s">
        <v>13</v>
      </c>
      <c r="I824" s="16">
        <v>2016</v>
      </c>
      <c r="J824" s="16" t="s">
        <v>4450</v>
      </c>
      <c r="K824" s="16" t="s">
        <v>416</v>
      </c>
      <c r="L824" s="16" t="s">
        <v>15</v>
      </c>
      <c r="M824" s="16" t="s">
        <v>4451</v>
      </c>
      <c r="N824" s="16"/>
      <c r="O824" s="16"/>
    </row>
    <row r="825" spans="1:15" x14ac:dyDescent="0.3">
      <c r="A825" s="16">
        <v>824</v>
      </c>
      <c r="B825" s="16" t="s">
        <v>1641</v>
      </c>
      <c r="C825" s="16" t="str">
        <f>"V4810703455001"</f>
        <v>V4810703455001</v>
      </c>
      <c r="D825" s="16" t="s">
        <v>4452</v>
      </c>
      <c r="E825" s="16" t="s">
        <v>4406</v>
      </c>
      <c r="F825" s="21">
        <v>9781259586125</v>
      </c>
      <c r="G825" s="16" t="s">
        <v>4411</v>
      </c>
      <c r="H825" s="16" t="s">
        <v>13</v>
      </c>
      <c r="I825" s="16">
        <v>2015</v>
      </c>
      <c r="J825" s="16" t="s">
        <v>4453</v>
      </c>
      <c r="K825" s="16" t="s">
        <v>4454</v>
      </c>
      <c r="L825" s="16" t="s">
        <v>15</v>
      </c>
      <c r="M825" s="16" t="s">
        <v>4455</v>
      </c>
      <c r="N825" s="16"/>
      <c r="O825" s="16"/>
    </row>
    <row r="826" spans="1:15" x14ac:dyDescent="0.3">
      <c r="A826" s="16">
        <v>825</v>
      </c>
      <c r="B826" s="16" t="s">
        <v>1641</v>
      </c>
      <c r="C826" s="16" t="str">
        <f>"V4810703456001"</f>
        <v>V4810703456001</v>
      </c>
      <c r="D826" s="16" t="s">
        <v>4456</v>
      </c>
      <c r="E826" s="16" t="s">
        <v>4406</v>
      </c>
      <c r="F826" s="21">
        <v>9781259586125</v>
      </c>
      <c r="G826" s="16" t="s">
        <v>4411</v>
      </c>
      <c r="H826" s="16" t="s">
        <v>13</v>
      </c>
      <c r="I826" s="16">
        <v>2016</v>
      </c>
      <c r="J826" s="16" t="s">
        <v>4457</v>
      </c>
      <c r="K826" s="16" t="s">
        <v>416</v>
      </c>
      <c r="L826" s="16" t="s">
        <v>15</v>
      </c>
      <c r="M826" s="16" t="s">
        <v>4458</v>
      </c>
      <c r="N826" s="16"/>
      <c r="O826" s="16"/>
    </row>
    <row r="827" spans="1:15" x14ac:dyDescent="0.3">
      <c r="A827" s="16">
        <v>826</v>
      </c>
      <c r="B827" s="16" t="s">
        <v>1641</v>
      </c>
      <c r="C827" s="16" t="str">
        <f>"V5529304967001"</f>
        <v>V5529304967001</v>
      </c>
      <c r="D827" s="16" t="s">
        <v>4459</v>
      </c>
      <c r="E827" s="16" t="s">
        <v>4460</v>
      </c>
      <c r="F827" s="19" t="s">
        <v>4461</v>
      </c>
      <c r="G827" s="16" t="s">
        <v>4462</v>
      </c>
      <c r="H827" s="16" t="s">
        <v>13</v>
      </c>
      <c r="I827" s="16">
        <v>2017</v>
      </c>
      <c r="J827" s="16" t="s">
        <v>4463</v>
      </c>
      <c r="K827" s="16" t="s">
        <v>4464</v>
      </c>
      <c r="L827" s="16" t="s">
        <v>15</v>
      </c>
      <c r="M827" s="16" t="s">
        <v>4465</v>
      </c>
      <c r="N827" s="16"/>
      <c r="O827" s="16"/>
    </row>
    <row r="828" spans="1:15" x14ac:dyDescent="0.3">
      <c r="A828" s="16">
        <v>827</v>
      </c>
      <c r="B828" s="16" t="s">
        <v>1641</v>
      </c>
      <c r="C828" s="16" t="str">
        <f>"V5529304968001"</f>
        <v>V5529304968001</v>
      </c>
      <c r="D828" s="16" t="s">
        <v>4466</v>
      </c>
      <c r="E828" s="16" t="s">
        <v>4460</v>
      </c>
      <c r="F828" s="19" t="s">
        <v>4461</v>
      </c>
      <c r="G828" s="16" t="s">
        <v>4462</v>
      </c>
      <c r="H828" s="16" t="s">
        <v>13</v>
      </c>
      <c r="I828" s="16">
        <v>2017</v>
      </c>
      <c r="J828" s="16" t="s">
        <v>4467</v>
      </c>
      <c r="K828" s="16" t="s">
        <v>4468</v>
      </c>
      <c r="L828" s="16" t="s">
        <v>15</v>
      </c>
      <c r="M828" s="16" t="s">
        <v>4469</v>
      </c>
      <c r="N828" s="16"/>
      <c r="O828" s="16"/>
    </row>
    <row r="829" spans="1:15" x14ac:dyDescent="0.3">
      <c r="A829" s="16">
        <v>828</v>
      </c>
      <c r="B829" s="16" t="s">
        <v>1641</v>
      </c>
      <c r="C829" s="16" t="str">
        <f>"V5529315848001"</f>
        <v>V5529315848001</v>
      </c>
      <c r="D829" s="16" t="s">
        <v>4470</v>
      </c>
      <c r="E829" s="16" t="s">
        <v>4460</v>
      </c>
      <c r="F829" s="19" t="s">
        <v>4461</v>
      </c>
      <c r="G829" s="16" t="s">
        <v>4462</v>
      </c>
      <c r="H829" s="16" t="s">
        <v>13</v>
      </c>
      <c r="I829" s="16">
        <v>2017</v>
      </c>
      <c r="J829" s="16" t="s">
        <v>4471</v>
      </c>
      <c r="K829" s="16" t="s">
        <v>4468</v>
      </c>
      <c r="L829" s="16" t="s">
        <v>15</v>
      </c>
      <c r="M829" s="16" t="s">
        <v>4472</v>
      </c>
      <c r="N829" s="16"/>
      <c r="O829" s="16"/>
    </row>
    <row r="830" spans="1:15" x14ac:dyDescent="0.3">
      <c r="A830" s="16">
        <v>829</v>
      </c>
      <c r="B830" s="16" t="s">
        <v>1641</v>
      </c>
      <c r="C830" s="16" t="str">
        <f>"V5529315851001"</f>
        <v>V5529315851001</v>
      </c>
      <c r="D830" s="16" t="s">
        <v>4473</v>
      </c>
      <c r="E830" s="16" t="s">
        <v>4460</v>
      </c>
      <c r="F830" s="19" t="s">
        <v>4461</v>
      </c>
      <c r="G830" s="16" t="s">
        <v>4462</v>
      </c>
      <c r="H830" s="16" t="s">
        <v>13</v>
      </c>
      <c r="I830" s="16">
        <v>2017</v>
      </c>
      <c r="J830" s="16" t="s">
        <v>4474</v>
      </c>
      <c r="K830" s="16" t="s">
        <v>4475</v>
      </c>
      <c r="L830" s="16" t="s">
        <v>15</v>
      </c>
      <c r="M830" s="16" t="s">
        <v>4476</v>
      </c>
      <c r="N830" s="16"/>
      <c r="O830" s="16"/>
    </row>
    <row r="831" spans="1:15" x14ac:dyDescent="0.3">
      <c r="A831" s="16">
        <v>830</v>
      </c>
      <c r="B831" s="16" t="s">
        <v>1641</v>
      </c>
      <c r="C831" s="16" t="str">
        <f>"V5529318689001"</f>
        <v>V5529318689001</v>
      </c>
      <c r="D831" s="16" t="s">
        <v>4477</v>
      </c>
      <c r="E831" s="16" t="s">
        <v>4460</v>
      </c>
      <c r="F831" s="19" t="s">
        <v>4461</v>
      </c>
      <c r="G831" s="16" t="s">
        <v>4462</v>
      </c>
      <c r="H831" s="16" t="s">
        <v>13</v>
      </c>
      <c r="I831" s="16">
        <v>2017</v>
      </c>
      <c r="J831" s="16" t="s">
        <v>4478</v>
      </c>
      <c r="K831" s="16" t="s">
        <v>4479</v>
      </c>
      <c r="L831" s="16" t="s">
        <v>15</v>
      </c>
      <c r="M831" s="16" t="s">
        <v>4480</v>
      </c>
      <c r="N831" s="16"/>
      <c r="O831" s="16"/>
    </row>
    <row r="832" spans="1:15" x14ac:dyDescent="0.3">
      <c r="A832" s="16">
        <v>831</v>
      </c>
      <c r="B832" s="16" t="s">
        <v>1641</v>
      </c>
      <c r="C832" s="16" t="str">
        <f>"V5529318690001"</f>
        <v>V5529318690001</v>
      </c>
      <c r="D832" s="16" t="s">
        <v>4481</v>
      </c>
      <c r="E832" s="16" t="s">
        <v>4460</v>
      </c>
      <c r="F832" s="19" t="s">
        <v>4461</v>
      </c>
      <c r="G832" s="16" t="s">
        <v>4462</v>
      </c>
      <c r="H832" s="16" t="s">
        <v>13</v>
      </c>
      <c r="I832" s="16">
        <v>2017</v>
      </c>
      <c r="J832" s="16" t="s">
        <v>4482</v>
      </c>
      <c r="K832" s="16" t="s">
        <v>4483</v>
      </c>
      <c r="L832" s="16" t="s">
        <v>15</v>
      </c>
      <c r="M832" s="16" t="s">
        <v>4484</v>
      </c>
      <c r="N832" s="16"/>
      <c r="O832" s="16"/>
    </row>
    <row r="833" spans="1:15" x14ac:dyDescent="0.3">
      <c r="A833" s="16">
        <v>832</v>
      </c>
      <c r="B833" s="16" t="s">
        <v>1641</v>
      </c>
      <c r="C833" s="16" t="str">
        <f>"V5529318692001"</f>
        <v>V5529318692001</v>
      </c>
      <c r="D833" s="16" t="s">
        <v>4485</v>
      </c>
      <c r="E833" s="16" t="s">
        <v>4460</v>
      </c>
      <c r="F833" s="19" t="s">
        <v>4461</v>
      </c>
      <c r="G833" s="16" t="s">
        <v>4462</v>
      </c>
      <c r="H833" s="16" t="s">
        <v>13</v>
      </c>
      <c r="I833" s="16">
        <v>2017</v>
      </c>
      <c r="J833" s="16" t="s">
        <v>4486</v>
      </c>
      <c r="K833" s="16" t="s">
        <v>103</v>
      </c>
      <c r="L833" s="16" t="s">
        <v>15</v>
      </c>
      <c r="M833" s="16" t="s">
        <v>4487</v>
      </c>
      <c r="N833" s="16"/>
      <c r="O833" s="16"/>
    </row>
    <row r="834" spans="1:15" x14ac:dyDescent="0.3">
      <c r="A834" s="16">
        <v>833</v>
      </c>
      <c r="B834" s="16" t="s">
        <v>1641</v>
      </c>
      <c r="C834" s="16" t="str">
        <f>"V5529322796001"</f>
        <v>V5529322796001</v>
      </c>
      <c r="D834" s="16" t="s">
        <v>4488</v>
      </c>
      <c r="E834" s="16" t="s">
        <v>4460</v>
      </c>
      <c r="F834" s="19" t="s">
        <v>4461</v>
      </c>
      <c r="G834" s="16" t="s">
        <v>4462</v>
      </c>
      <c r="H834" s="16" t="s">
        <v>13</v>
      </c>
      <c r="I834" s="16">
        <v>2017</v>
      </c>
      <c r="J834" s="16" t="s">
        <v>4489</v>
      </c>
      <c r="K834" s="16" t="s">
        <v>4490</v>
      </c>
      <c r="L834" s="16" t="s">
        <v>15</v>
      </c>
      <c r="M834" s="16" t="s">
        <v>4491</v>
      </c>
      <c r="N834" s="16"/>
      <c r="O834" s="16"/>
    </row>
    <row r="835" spans="1:15" x14ac:dyDescent="0.3">
      <c r="A835" s="16">
        <v>834</v>
      </c>
      <c r="B835" s="16" t="s">
        <v>1641</v>
      </c>
      <c r="C835" s="16" t="str">
        <f>"V5529322797001"</f>
        <v>V5529322797001</v>
      </c>
      <c r="D835" s="16" t="s">
        <v>4492</v>
      </c>
      <c r="E835" s="16" t="s">
        <v>4460</v>
      </c>
      <c r="F835" s="19" t="s">
        <v>4461</v>
      </c>
      <c r="G835" s="16" t="s">
        <v>4462</v>
      </c>
      <c r="H835" s="16" t="s">
        <v>13</v>
      </c>
      <c r="I835" s="16">
        <v>2017</v>
      </c>
      <c r="J835" s="16" t="s">
        <v>4493</v>
      </c>
      <c r="K835" s="16" t="s">
        <v>4494</v>
      </c>
      <c r="L835" s="16" t="s">
        <v>15</v>
      </c>
      <c r="M835" s="16" t="s">
        <v>4495</v>
      </c>
      <c r="N835" s="16"/>
      <c r="O835" s="16"/>
    </row>
    <row r="836" spans="1:15" x14ac:dyDescent="0.3">
      <c r="A836" s="16">
        <v>835</v>
      </c>
      <c r="B836" s="16" t="s">
        <v>1641</v>
      </c>
      <c r="C836" s="16" t="str">
        <f>"V5529322798001"</f>
        <v>V5529322798001</v>
      </c>
      <c r="D836" s="16" t="s">
        <v>4496</v>
      </c>
      <c r="E836" s="16" t="s">
        <v>4460</v>
      </c>
      <c r="F836" s="19" t="s">
        <v>4461</v>
      </c>
      <c r="G836" s="16" t="s">
        <v>4462</v>
      </c>
      <c r="H836" s="16" t="s">
        <v>13</v>
      </c>
      <c r="I836" s="16">
        <v>2017</v>
      </c>
      <c r="J836" s="16" t="s">
        <v>4497</v>
      </c>
      <c r="K836" s="16" t="s">
        <v>4498</v>
      </c>
      <c r="L836" s="16" t="s">
        <v>15</v>
      </c>
      <c r="M836" s="16" t="s">
        <v>4499</v>
      </c>
      <c r="N836" s="16"/>
      <c r="O836" s="16"/>
    </row>
    <row r="837" spans="1:15" x14ac:dyDescent="0.3">
      <c r="A837" s="16">
        <v>836</v>
      </c>
      <c r="B837" s="16" t="s">
        <v>1641</v>
      </c>
      <c r="C837" s="16" t="str">
        <f>"V5529327013001"</f>
        <v>V5529327013001</v>
      </c>
      <c r="D837" s="16" t="s">
        <v>4500</v>
      </c>
      <c r="E837" s="16" t="s">
        <v>4460</v>
      </c>
      <c r="F837" s="19" t="s">
        <v>4461</v>
      </c>
      <c r="G837" s="16" t="s">
        <v>4462</v>
      </c>
      <c r="H837" s="16" t="s">
        <v>13</v>
      </c>
      <c r="I837" s="16">
        <v>2017</v>
      </c>
      <c r="J837" s="16" t="s">
        <v>4501</v>
      </c>
      <c r="K837" s="16" t="s">
        <v>4502</v>
      </c>
      <c r="L837" s="16" t="s">
        <v>15</v>
      </c>
      <c r="M837" s="16" t="s">
        <v>4503</v>
      </c>
      <c r="N837" s="16"/>
      <c r="O837" s="16"/>
    </row>
    <row r="838" spans="1:15" x14ac:dyDescent="0.3">
      <c r="A838" s="16">
        <v>837</v>
      </c>
      <c r="B838" s="16" t="s">
        <v>1641</v>
      </c>
      <c r="C838" s="16" t="str">
        <f>"V5529327014001"</f>
        <v>V5529327014001</v>
      </c>
      <c r="D838" s="16" t="s">
        <v>4504</v>
      </c>
      <c r="E838" s="16" t="s">
        <v>4460</v>
      </c>
      <c r="F838" s="19" t="s">
        <v>4461</v>
      </c>
      <c r="G838" s="16" t="s">
        <v>4462</v>
      </c>
      <c r="H838" s="16" t="s">
        <v>13</v>
      </c>
      <c r="I838" s="16">
        <v>2017</v>
      </c>
      <c r="J838" s="16" t="s">
        <v>4505</v>
      </c>
      <c r="K838" s="16" t="s">
        <v>4506</v>
      </c>
      <c r="L838" s="16" t="s">
        <v>15</v>
      </c>
      <c r="M838" s="16" t="s">
        <v>4507</v>
      </c>
      <c r="N838" s="16"/>
      <c r="O838" s="16"/>
    </row>
    <row r="839" spans="1:15" x14ac:dyDescent="0.3">
      <c r="A839" s="16">
        <v>838</v>
      </c>
      <c r="B839" s="16" t="s">
        <v>1641</v>
      </c>
      <c r="C839" s="16" t="str">
        <f>"V5529327016001"</f>
        <v>V5529327016001</v>
      </c>
      <c r="D839" s="16" t="s">
        <v>4508</v>
      </c>
      <c r="E839" s="16" t="s">
        <v>4460</v>
      </c>
      <c r="F839" s="19" t="s">
        <v>4461</v>
      </c>
      <c r="G839" s="16" t="s">
        <v>4462</v>
      </c>
      <c r="H839" s="16" t="s">
        <v>13</v>
      </c>
      <c r="I839" s="16">
        <v>2017</v>
      </c>
      <c r="J839" s="16" t="s">
        <v>4509</v>
      </c>
      <c r="K839" s="16" t="s">
        <v>4510</v>
      </c>
      <c r="L839" s="16" t="s">
        <v>15</v>
      </c>
      <c r="M839" s="16" t="s">
        <v>4511</v>
      </c>
      <c r="N839" s="16"/>
      <c r="O839" s="16"/>
    </row>
    <row r="840" spans="1:15" x14ac:dyDescent="0.3">
      <c r="A840" s="16">
        <v>839</v>
      </c>
      <c r="B840" s="16" t="s">
        <v>1641</v>
      </c>
      <c r="C840" s="16" t="str">
        <f>"V5529327017001"</f>
        <v>V5529327017001</v>
      </c>
      <c r="D840" s="16" t="s">
        <v>4512</v>
      </c>
      <c r="E840" s="16" t="s">
        <v>4460</v>
      </c>
      <c r="F840" s="19" t="s">
        <v>4461</v>
      </c>
      <c r="G840" s="16" t="s">
        <v>4462</v>
      </c>
      <c r="H840" s="16" t="s">
        <v>13</v>
      </c>
      <c r="I840" s="16">
        <v>2017</v>
      </c>
      <c r="J840" s="16" t="s">
        <v>4513</v>
      </c>
      <c r="K840" s="16" t="s">
        <v>4514</v>
      </c>
      <c r="L840" s="16" t="s">
        <v>15</v>
      </c>
      <c r="M840" s="16" t="s">
        <v>4515</v>
      </c>
      <c r="N840" s="16"/>
      <c r="O840" s="16"/>
    </row>
    <row r="841" spans="1:15" x14ac:dyDescent="0.3">
      <c r="A841" s="16">
        <v>840</v>
      </c>
      <c r="B841" s="16" t="s">
        <v>1641</v>
      </c>
      <c r="C841" s="16" t="str">
        <f>"V5534141214001"</f>
        <v>V5534141214001</v>
      </c>
      <c r="D841" s="16" t="s">
        <v>4516</v>
      </c>
      <c r="E841" s="16" t="s">
        <v>4460</v>
      </c>
      <c r="F841" s="19" t="s">
        <v>4461</v>
      </c>
      <c r="G841" s="16" t="s">
        <v>4462</v>
      </c>
      <c r="H841" s="16" t="s">
        <v>13</v>
      </c>
      <c r="I841" s="16">
        <v>2017</v>
      </c>
      <c r="J841" s="16" t="s">
        <v>4517</v>
      </c>
      <c r="K841" s="16" t="s">
        <v>4518</v>
      </c>
      <c r="L841" s="16" t="s">
        <v>15</v>
      </c>
      <c r="M841" s="16" t="s">
        <v>4519</v>
      </c>
      <c r="N841" s="16"/>
      <c r="O841" s="16"/>
    </row>
    <row r="842" spans="1:15" x14ac:dyDescent="0.3">
      <c r="A842" s="16">
        <v>841</v>
      </c>
      <c r="B842" s="16" t="s">
        <v>1641</v>
      </c>
      <c r="C842" s="16" t="str">
        <f>"V5654114801001"</f>
        <v>V5654114801001</v>
      </c>
      <c r="D842" s="16" t="s">
        <v>4520</v>
      </c>
      <c r="E842" s="16" t="s">
        <v>4521</v>
      </c>
      <c r="F842" s="21">
        <v>9781259643835</v>
      </c>
      <c r="G842" s="16" t="s">
        <v>2022</v>
      </c>
      <c r="H842" s="16" t="s">
        <v>13</v>
      </c>
      <c r="I842" s="16">
        <v>2017</v>
      </c>
      <c r="J842" s="16" t="s">
        <v>4522</v>
      </c>
      <c r="K842" s="16" t="s">
        <v>3772</v>
      </c>
      <c r="L842" s="16" t="s">
        <v>15</v>
      </c>
      <c r="M842" s="16" t="s">
        <v>4523</v>
      </c>
      <c r="N842" s="16"/>
      <c r="O842" s="16"/>
    </row>
    <row r="843" spans="1:15" x14ac:dyDescent="0.3">
      <c r="A843" s="16">
        <v>842</v>
      </c>
      <c r="B843" s="16" t="s">
        <v>1641</v>
      </c>
      <c r="C843" s="16" t="str">
        <f>"V5654122193001"</f>
        <v>V5654122193001</v>
      </c>
      <c r="D843" s="16" t="s">
        <v>4524</v>
      </c>
      <c r="E843" s="16" t="s">
        <v>4521</v>
      </c>
      <c r="F843" s="21">
        <v>9781259643835</v>
      </c>
      <c r="G843" s="16" t="s">
        <v>2022</v>
      </c>
      <c r="H843" s="16" t="s">
        <v>13</v>
      </c>
      <c r="I843" s="16">
        <v>2017</v>
      </c>
      <c r="J843" s="16" t="s">
        <v>4525</v>
      </c>
      <c r="K843" s="16" t="s">
        <v>4526</v>
      </c>
      <c r="L843" s="16" t="s">
        <v>15</v>
      </c>
      <c r="M843" s="16" t="s">
        <v>4527</v>
      </c>
      <c r="N843" s="16"/>
      <c r="O843" s="16"/>
    </row>
    <row r="844" spans="1:15" x14ac:dyDescent="0.3">
      <c r="A844" s="16">
        <v>843</v>
      </c>
      <c r="B844" s="16" t="s">
        <v>1641</v>
      </c>
      <c r="C844" s="16" t="str">
        <f>"V5654128634001"</f>
        <v>V5654128634001</v>
      </c>
      <c r="D844" s="16" t="s">
        <v>4528</v>
      </c>
      <c r="E844" s="16" t="s">
        <v>4521</v>
      </c>
      <c r="F844" s="21">
        <v>9781259643835</v>
      </c>
      <c r="G844" s="16" t="s">
        <v>2022</v>
      </c>
      <c r="H844" s="16" t="s">
        <v>13</v>
      </c>
      <c r="I844" s="16">
        <v>2017</v>
      </c>
      <c r="J844" s="16" t="s">
        <v>4529</v>
      </c>
      <c r="K844" s="16" t="s">
        <v>147</v>
      </c>
      <c r="L844" s="16" t="s">
        <v>15</v>
      </c>
      <c r="M844" s="16" t="s">
        <v>4530</v>
      </c>
      <c r="N844" s="16"/>
      <c r="O844" s="16"/>
    </row>
    <row r="845" spans="1:15" x14ac:dyDescent="0.3">
      <c r="A845" s="16">
        <v>844</v>
      </c>
      <c r="B845" s="16" t="s">
        <v>1641</v>
      </c>
      <c r="C845" s="16" t="str">
        <f>"V5654128635001"</f>
        <v>V5654128635001</v>
      </c>
      <c r="D845" s="16" t="s">
        <v>4531</v>
      </c>
      <c r="E845" s="16" t="s">
        <v>4521</v>
      </c>
      <c r="F845" s="21">
        <v>9781259643835</v>
      </c>
      <c r="G845" s="16" t="s">
        <v>2022</v>
      </c>
      <c r="H845" s="16" t="s">
        <v>13</v>
      </c>
      <c r="I845" s="16">
        <v>2017</v>
      </c>
      <c r="J845" s="16" t="s">
        <v>4532</v>
      </c>
      <c r="K845" s="16" t="s">
        <v>217</v>
      </c>
      <c r="L845" s="16" t="s">
        <v>15</v>
      </c>
      <c r="M845" s="16" t="s">
        <v>4533</v>
      </c>
      <c r="N845" s="16"/>
      <c r="O845" s="16"/>
    </row>
    <row r="846" spans="1:15" x14ac:dyDescent="0.3">
      <c r="A846" s="16">
        <v>845</v>
      </c>
      <c r="B846" s="16" t="s">
        <v>1641</v>
      </c>
      <c r="C846" s="16" t="str">
        <f>"V5654128637001"</f>
        <v>V5654128637001</v>
      </c>
      <c r="D846" s="16" t="s">
        <v>4534</v>
      </c>
      <c r="E846" s="16" t="s">
        <v>4521</v>
      </c>
      <c r="F846" s="21">
        <v>9781259643835</v>
      </c>
      <c r="G846" s="16" t="s">
        <v>2022</v>
      </c>
      <c r="H846" s="16" t="s">
        <v>13</v>
      </c>
      <c r="I846" s="16">
        <v>2017</v>
      </c>
      <c r="J846" s="16" t="s">
        <v>4535</v>
      </c>
      <c r="K846" s="16" t="s">
        <v>4536</v>
      </c>
      <c r="L846" s="16" t="s">
        <v>15</v>
      </c>
      <c r="M846" s="16" t="s">
        <v>4537</v>
      </c>
      <c r="N846" s="16"/>
      <c r="O846" s="16"/>
    </row>
    <row r="847" spans="1:15" x14ac:dyDescent="0.3">
      <c r="A847" s="16">
        <v>846</v>
      </c>
      <c r="B847" s="16" t="s">
        <v>1641</v>
      </c>
      <c r="C847" s="16" t="str">
        <f>"V5654130217001"</f>
        <v>V5654130217001</v>
      </c>
      <c r="D847" s="16" t="s">
        <v>4538</v>
      </c>
      <c r="E847" s="16" t="s">
        <v>4521</v>
      </c>
      <c r="F847" s="21">
        <v>9781259643835</v>
      </c>
      <c r="G847" s="16" t="s">
        <v>2022</v>
      </c>
      <c r="H847" s="16" t="s">
        <v>13</v>
      </c>
      <c r="I847" s="16">
        <v>2017</v>
      </c>
      <c r="J847" s="16" t="s">
        <v>4539</v>
      </c>
      <c r="K847" s="16" t="s">
        <v>4540</v>
      </c>
      <c r="L847" s="16" t="s">
        <v>15</v>
      </c>
      <c r="M847" s="16" t="s">
        <v>4541</v>
      </c>
      <c r="N847" s="16"/>
      <c r="O847" s="16"/>
    </row>
    <row r="848" spans="1:15" x14ac:dyDescent="0.3">
      <c r="A848" s="16">
        <v>847</v>
      </c>
      <c r="B848" s="16" t="s">
        <v>1641</v>
      </c>
      <c r="C848" s="16" t="str">
        <f>"V5654130218001"</f>
        <v>V5654130218001</v>
      </c>
      <c r="D848" s="16" t="s">
        <v>4542</v>
      </c>
      <c r="E848" s="16" t="s">
        <v>4521</v>
      </c>
      <c r="F848" s="21">
        <v>9781259643835</v>
      </c>
      <c r="G848" s="16" t="s">
        <v>2022</v>
      </c>
      <c r="H848" s="16" t="s">
        <v>13</v>
      </c>
      <c r="I848" s="16">
        <v>2017</v>
      </c>
      <c r="J848" s="16" t="s">
        <v>4543</v>
      </c>
      <c r="K848" s="16" t="s">
        <v>4544</v>
      </c>
      <c r="L848" s="16" t="s">
        <v>15</v>
      </c>
      <c r="M848" s="16" t="s">
        <v>4545</v>
      </c>
      <c r="N848" s="16"/>
      <c r="O848" s="16"/>
    </row>
    <row r="849" spans="1:15" x14ac:dyDescent="0.3">
      <c r="A849" s="16">
        <v>848</v>
      </c>
      <c r="B849" s="16" t="s">
        <v>1641</v>
      </c>
      <c r="C849" s="16" t="str">
        <f>"V5654131890001"</f>
        <v>V5654131890001</v>
      </c>
      <c r="D849" s="16" t="s">
        <v>4546</v>
      </c>
      <c r="E849" s="16" t="s">
        <v>4521</v>
      </c>
      <c r="F849" s="21">
        <v>9781259643835</v>
      </c>
      <c r="G849" s="16" t="s">
        <v>2022</v>
      </c>
      <c r="H849" s="16" t="s">
        <v>13</v>
      </c>
      <c r="I849" s="16">
        <v>2017</v>
      </c>
      <c r="J849" s="16" t="s">
        <v>4547</v>
      </c>
      <c r="K849" s="16" t="s">
        <v>2090</v>
      </c>
      <c r="L849" s="16" t="s">
        <v>15</v>
      </c>
      <c r="M849" s="16" t="s">
        <v>4548</v>
      </c>
      <c r="N849" s="16"/>
      <c r="O849" s="16"/>
    </row>
    <row r="850" spans="1:15" x14ac:dyDescent="0.3">
      <c r="A850" s="16">
        <v>849</v>
      </c>
      <c r="B850" s="16" t="s">
        <v>1641</v>
      </c>
      <c r="C850" s="16" t="str">
        <f>"V5654131891001"</f>
        <v>V5654131891001</v>
      </c>
      <c r="D850" s="16" t="s">
        <v>4549</v>
      </c>
      <c r="E850" s="16" t="s">
        <v>4521</v>
      </c>
      <c r="F850" s="21">
        <v>9781259643835</v>
      </c>
      <c r="G850" s="16" t="s">
        <v>2022</v>
      </c>
      <c r="H850" s="16" t="s">
        <v>13</v>
      </c>
      <c r="I850" s="16">
        <v>2017</v>
      </c>
      <c r="J850" s="16" t="s">
        <v>4550</v>
      </c>
      <c r="K850" s="16" t="s">
        <v>2090</v>
      </c>
      <c r="L850" s="16" t="s">
        <v>15</v>
      </c>
      <c r="M850" s="16" t="s">
        <v>4551</v>
      </c>
      <c r="N850" s="16"/>
      <c r="O850" s="16"/>
    </row>
    <row r="851" spans="1:15" x14ac:dyDescent="0.3">
      <c r="A851" s="16">
        <v>850</v>
      </c>
      <c r="B851" s="16" t="s">
        <v>1641</v>
      </c>
      <c r="C851" s="16" t="str">
        <f>"V5654136409001"</f>
        <v>V5654136409001</v>
      </c>
      <c r="D851" s="16" t="s">
        <v>4552</v>
      </c>
      <c r="E851" s="16" t="s">
        <v>4521</v>
      </c>
      <c r="F851" s="21">
        <v>9781259643835</v>
      </c>
      <c r="G851" s="16" t="s">
        <v>2022</v>
      </c>
      <c r="H851" s="16" t="s">
        <v>13</v>
      </c>
      <c r="I851" s="16">
        <v>2017</v>
      </c>
      <c r="J851" s="16" t="s">
        <v>4553</v>
      </c>
      <c r="K851" s="16" t="s">
        <v>147</v>
      </c>
      <c r="L851" s="16" t="s">
        <v>15</v>
      </c>
      <c r="M851" s="16" t="s">
        <v>4554</v>
      </c>
      <c r="N851" s="16"/>
      <c r="O851" s="16"/>
    </row>
    <row r="852" spans="1:15" x14ac:dyDescent="0.3">
      <c r="A852" s="16">
        <v>851</v>
      </c>
      <c r="B852" s="16" t="s">
        <v>1641</v>
      </c>
      <c r="C852" s="16" t="str">
        <f>"V5654136873001"</f>
        <v>V5654136873001</v>
      </c>
      <c r="D852" s="16" t="s">
        <v>4555</v>
      </c>
      <c r="E852" s="16" t="s">
        <v>4521</v>
      </c>
      <c r="F852" s="21">
        <v>9781259643835</v>
      </c>
      <c r="G852" s="16" t="s">
        <v>2022</v>
      </c>
      <c r="H852" s="16" t="s">
        <v>13</v>
      </c>
      <c r="I852" s="16">
        <v>2017</v>
      </c>
      <c r="J852" s="16" t="s">
        <v>4556</v>
      </c>
      <c r="K852" s="16" t="s">
        <v>3182</v>
      </c>
      <c r="L852" s="16" t="s">
        <v>15</v>
      </c>
      <c r="M852" s="16" t="s">
        <v>4557</v>
      </c>
      <c r="N852" s="16"/>
      <c r="O852" s="16"/>
    </row>
    <row r="853" spans="1:15" x14ac:dyDescent="0.3">
      <c r="A853" s="16">
        <v>852</v>
      </c>
      <c r="B853" s="16" t="s">
        <v>1641</v>
      </c>
      <c r="C853" s="16" t="str">
        <f>"V5654136874001"</f>
        <v>V5654136874001</v>
      </c>
      <c r="D853" s="16" t="s">
        <v>4558</v>
      </c>
      <c r="E853" s="16" t="s">
        <v>4521</v>
      </c>
      <c r="F853" s="21">
        <v>9781259643835</v>
      </c>
      <c r="G853" s="16" t="s">
        <v>2022</v>
      </c>
      <c r="H853" s="16" t="s">
        <v>13</v>
      </c>
      <c r="I853" s="16">
        <v>2017</v>
      </c>
      <c r="J853" s="16" t="s">
        <v>4559</v>
      </c>
      <c r="K853" s="16" t="s">
        <v>2090</v>
      </c>
      <c r="L853" s="16" t="s">
        <v>15</v>
      </c>
      <c r="M853" s="16" t="s">
        <v>4560</v>
      </c>
      <c r="N853" s="16"/>
      <c r="O853" s="16"/>
    </row>
    <row r="854" spans="1:15" x14ac:dyDescent="0.3">
      <c r="A854" s="16">
        <v>853</v>
      </c>
      <c r="B854" s="16" t="s">
        <v>1641</v>
      </c>
      <c r="C854" s="16" t="str">
        <f>"V5654136875001"</f>
        <v>V5654136875001</v>
      </c>
      <c r="D854" s="16" t="s">
        <v>4561</v>
      </c>
      <c r="E854" s="16" t="s">
        <v>4521</v>
      </c>
      <c r="F854" s="21">
        <v>9781259643835</v>
      </c>
      <c r="G854" s="16" t="s">
        <v>2022</v>
      </c>
      <c r="H854" s="16" t="s">
        <v>13</v>
      </c>
      <c r="I854" s="16">
        <v>2017</v>
      </c>
      <c r="J854" s="16" t="s">
        <v>4562</v>
      </c>
      <c r="K854" s="16" t="s">
        <v>4536</v>
      </c>
      <c r="L854" s="16" t="s">
        <v>15</v>
      </c>
      <c r="M854" s="16" t="s">
        <v>4563</v>
      </c>
      <c r="N854" s="16"/>
      <c r="O854" s="16"/>
    </row>
    <row r="855" spans="1:15" x14ac:dyDescent="0.3">
      <c r="A855" s="16">
        <v>854</v>
      </c>
      <c r="B855" s="16" t="s">
        <v>1641</v>
      </c>
      <c r="C855" s="16" t="str">
        <f>"V5654137501001"</f>
        <v>V5654137501001</v>
      </c>
      <c r="D855" s="16" t="s">
        <v>4564</v>
      </c>
      <c r="E855" s="16" t="s">
        <v>4521</v>
      </c>
      <c r="F855" s="21">
        <v>9781259643835</v>
      </c>
      <c r="G855" s="16" t="s">
        <v>2022</v>
      </c>
      <c r="H855" s="16" t="s">
        <v>13</v>
      </c>
      <c r="I855" s="16">
        <v>2017</v>
      </c>
      <c r="J855" s="16" t="s">
        <v>4565</v>
      </c>
      <c r="K855" s="16" t="s">
        <v>3203</v>
      </c>
      <c r="L855" s="16" t="s">
        <v>15</v>
      </c>
      <c r="M855" s="16" t="s">
        <v>4566</v>
      </c>
      <c r="N855" s="16"/>
      <c r="O855" s="16"/>
    </row>
    <row r="856" spans="1:15" x14ac:dyDescent="0.3">
      <c r="A856" s="16">
        <v>855</v>
      </c>
      <c r="B856" s="16" t="s">
        <v>1641</v>
      </c>
      <c r="C856" s="16" t="str">
        <f>"V5654139508001"</f>
        <v>V5654139508001</v>
      </c>
      <c r="D856" s="16" t="s">
        <v>4567</v>
      </c>
      <c r="E856" s="16" t="s">
        <v>4521</v>
      </c>
      <c r="F856" s="21">
        <v>9781259643835</v>
      </c>
      <c r="G856" s="16" t="s">
        <v>2022</v>
      </c>
      <c r="H856" s="16" t="s">
        <v>13</v>
      </c>
      <c r="I856" s="16">
        <v>2017</v>
      </c>
      <c r="J856" s="16" t="s">
        <v>4568</v>
      </c>
      <c r="K856" s="16" t="s">
        <v>147</v>
      </c>
      <c r="L856" s="16" t="s">
        <v>15</v>
      </c>
      <c r="M856" s="16" t="s">
        <v>4569</v>
      </c>
      <c r="N856" s="16"/>
      <c r="O856" s="16"/>
    </row>
    <row r="857" spans="1:15" x14ac:dyDescent="0.3">
      <c r="A857" s="16">
        <v>856</v>
      </c>
      <c r="B857" s="16" t="s">
        <v>1641</v>
      </c>
      <c r="C857" s="16" t="str">
        <f>"V5654139509001"</f>
        <v>V5654139509001</v>
      </c>
      <c r="D857" s="16" t="s">
        <v>4570</v>
      </c>
      <c r="E857" s="16" t="s">
        <v>4521</v>
      </c>
      <c r="F857" s="21">
        <v>9781259643835</v>
      </c>
      <c r="G857" s="16" t="s">
        <v>2022</v>
      </c>
      <c r="H857" s="16" t="s">
        <v>13</v>
      </c>
      <c r="I857" s="16">
        <v>2017</v>
      </c>
      <c r="J857" s="16" t="s">
        <v>4571</v>
      </c>
      <c r="K857" s="16" t="s">
        <v>4540</v>
      </c>
      <c r="L857" s="16" t="s">
        <v>15</v>
      </c>
      <c r="M857" s="16" t="s">
        <v>4572</v>
      </c>
      <c r="N857" s="16"/>
      <c r="O857" s="16"/>
    </row>
    <row r="858" spans="1:15" x14ac:dyDescent="0.3">
      <c r="A858" s="16">
        <v>857</v>
      </c>
      <c r="B858" s="16" t="s">
        <v>1641</v>
      </c>
      <c r="C858" s="16" t="str">
        <f>"V5654141310001"</f>
        <v>V5654141310001</v>
      </c>
      <c r="D858" s="16" t="s">
        <v>4573</v>
      </c>
      <c r="E858" s="16" t="s">
        <v>4521</v>
      </c>
      <c r="F858" s="21">
        <v>9781259643835</v>
      </c>
      <c r="G858" s="16" t="s">
        <v>2022</v>
      </c>
      <c r="H858" s="16" t="s">
        <v>13</v>
      </c>
      <c r="I858" s="16">
        <v>2017</v>
      </c>
      <c r="J858" s="16" t="s">
        <v>4574</v>
      </c>
      <c r="K858" s="16" t="s">
        <v>4575</v>
      </c>
      <c r="L858" s="16" t="s">
        <v>15</v>
      </c>
      <c r="M858" s="16" t="s">
        <v>4576</v>
      </c>
      <c r="N858" s="16"/>
      <c r="O858" s="16"/>
    </row>
    <row r="859" spans="1:15" x14ac:dyDescent="0.3">
      <c r="A859" s="16">
        <v>858</v>
      </c>
      <c r="B859" s="16" t="s">
        <v>1641</v>
      </c>
      <c r="C859" s="16" t="str">
        <f>"V5660240583001"</f>
        <v>V5660240583001</v>
      </c>
      <c r="D859" s="16" t="s">
        <v>4577</v>
      </c>
      <c r="E859" s="16" t="s">
        <v>4521</v>
      </c>
      <c r="F859" s="21">
        <v>9781259643835</v>
      </c>
      <c r="G859" s="16" t="s">
        <v>2022</v>
      </c>
      <c r="H859" s="16" t="s">
        <v>13</v>
      </c>
      <c r="I859" s="16">
        <v>2017</v>
      </c>
      <c r="J859" s="16" t="s">
        <v>4578</v>
      </c>
      <c r="K859" s="16" t="s">
        <v>4579</v>
      </c>
      <c r="L859" s="16" t="s">
        <v>15</v>
      </c>
      <c r="M859" s="16" t="s">
        <v>4580</v>
      </c>
      <c r="N859" s="16"/>
      <c r="O859" s="16"/>
    </row>
    <row r="860" spans="1:15" x14ac:dyDescent="0.3">
      <c r="A860" s="16">
        <v>859</v>
      </c>
      <c r="B860" s="16" t="s">
        <v>1641</v>
      </c>
      <c r="C860" s="16" t="str">
        <f>"V5660252750001"</f>
        <v>V5660252750001</v>
      </c>
      <c r="D860" s="16" t="s">
        <v>4581</v>
      </c>
      <c r="E860" s="16" t="s">
        <v>4521</v>
      </c>
      <c r="F860" s="21">
        <v>9781259643835</v>
      </c>
      <c r="G860" s="16" t="s">
        <v>2022</v>
      </c>
      <c r="H860" s="16" t="s">
        <v>13</v>
      </c>
      <c r="I860" s="16">
        <v>2017</v>
      </c>
      <c r="J860" s="16" t="s">
        <v>4582</v>
      </c>
      <c r="K860" s="16" t="s">
        <v>4583</v>
      </c>
      <c r="L860" s="16" t="s">
        <v>15</v>
      </c>
      <c r="M860" s="16" t="s">
        <v>4584</v>
      </c>
      <c r="N860" s="16"/>
      <c r="O860" s="16"/>
    </row>
    <row r="861" spans="1:15" x14ac:dyDescent="0.3">
      <c r="A861" s="16">
        <v>860</v>
      </c>
      <c r="B861" s="16" t="s">
        <v>1641</v>
      </c>
      <c r="C861" s="16" t="str">
        <f>"V5660256143001"</f>
        <v>V5660256143001</v>
      </c>
      <c r="D861" s="16" t="s">
        <v>4585</v>
      </c>
      <c r="E861" s="16" t="s">
        <v>4521</v>
      </c>
      <c r="F861" s="21">
        <v>9781259643835</v>
      </c>
      <c r="G861" s="16" t="s">
        <v>2022</v>
      </c>
      <c r="H861" s="16" t="s">
        <v>13</v>
      </c>
      <c r="I861" s="16">
        <v>2017</v>
      </c>
      <c r="J861" s="16" t="s">
        <v>4586</v>
      </c>
      <c r="K861" s="16" t="s">
        <v>4587</v>
      </c>
      <c r="L861" s="16" t="s">
        <v>15</v>
      </c>
      <c r="M861" s="16" t="s">
        <v>4588</v>
      </c>
      <c r="N861" s="16"/>
      <c r="O861" s="16"/>
    </row>
    <row r="862" spans="1:15" x14ac:dyDescent="0.3">
      <c r="A862" s="16">
        <v>861</v>
      </c>
      <c r="B862" s="16" t="s">
        <v>1641</v>
      </c>
      <c r="C862" s="16" t="str">
        <f>"V5660256145001"</f>
        <v>V5660256145001</v>
      </c>
      <c r="D862" s="16" t="s">
        <v>4589</v>
      </c>
      <c r="E862" s="16" t="s">
        <v>4521</v>
      </c>
      <c r="F862" s="21">
        <v>9781259643835</v>
      </c>
      <c r="G862" s="16" t="s">
        <v>2022</v>
      </c>
      <c r="H862" s="16" t="s">
        <v>13</v>
      </c>
      <c r="I862" s="16">
        <v>2017</v>
      </c>
      <c r="J862" s="16" t="s">
        <v>4590</v>
      </c>
      <c r="K862" s="16" t="s">
        <v>147</v>
      </c>
      <c r="L862" s="16" t="s">
        <v>15</v>
      </c>
      <c r="M862" s="16" t="s">
        <v>4591</v>
      </c>
      <c r="N862" s="16"/>
      <c r="O862" s="16"/>
    </row>
    <row r="863" spans="1:15" x14ac:dyDescent="0.3">
      <c r="A863" s="16">
        <v>862</v>
      </c>
      <c r="B863" s="16" t="s">
        <v>1641</v>
      </c>
      <c r="C863" s="16" t="str">
        <f>"V5759220632001"</f>
        <v>V5759220632001</v>
      </c>
      <c r="D863" s="16" t="s">
        <v>4592</v>
      </c>
      <c r="E863" s="16" t="s">
        <v>4593</v>
      </c>
      <c r="F863" s="19" t="s">
        <v>4594</v>
      </c>
      <c r="G863" s="16" t="s">
        <v>4595</v>
      </c>
      <c r="H863" s="16" t="s">
        <v>13</v>
      </c>
      <c r="I863" s="16">
        <v>2018</v>
      </c>
      <c r="J863" s="16" t="s">
        <v>4596</v>
      </c>
      <c r="K863" s="16" t="s">
        <v>36</v>
      </c>
      <c r="L863" s="16" t="s">
        <v>15</v>
      </c>
      <c r="M863" s="16" t="s">
        <v>4597</v>
      </c>
      <c r="N863" s="16"/>
      <c r="O863" s="16"/>
    </row>
    <row r="864" spans="1:15" x14ac:dyDescent="0.3">
      <c r="A864" s="16">
        <v>863</v>
      </c>
      <c r="B864" s="16" t="s">
        <v>1641</v>
      </c>
      <c r="C864" s="16" t="str">
        <f>"V5762508271001"</f>
        <v>V5762508271001</v>
      </c>
      <c r="D864" s="16" t="s">
        <v>4598</v>
      </c>
      <c r="E864" s="16" t="s">
        <v>4593</v>
      </c>
      <c r="F864" s="19" t="s">
        <v>4594</v>
      </c>
      <c r="G864" s="16" t="s">
        <v>4595</v>
      </c>
      <c r="H864" s="16" t="s">
        <v>13</v>
      </c>
      <c r="I864" s="16">
        <v>2018</v>
      </c>
      <c r="J864" s="16" t="s">
        <v>4599</v>
      </c>
      <c r="K864" s="16" t="s">
        <v>175</v>
      </c>
      <c r="L864" s="16" t="s">
        <v>15</v>
      </c>
      <c r="M864" s="16" t="s">
        <v>4600</v>
      </c>
      <c r="N864" s="16"/>
      <c r="O864" s="16"/>
    </row>
    <row r="865" spans="1:15" x14ac:dyDescent="0.3">
      <c r="A865" s="16">
        <v>864</v>
      </c>
      <c r="B865" s="16" t="s">
        <v>1641</v>
      </c>
      <c r="C865" s="16" t="str">
        <f>"V5762520689001"</f>
        <v>V5762520689001</v>
      </c>
      <c r="D865" s="16" t="s">
        <v>4601</v>
      </c>
      <c r="E865" s="16" t="s">
        <v>4593</v>
      </c>
      <c r="F865" s="19" t="s">
        <v>4594</v>
      </c>
      <c r="G865" s="16" t="s">
        <v>4595</v>
      </c>
      <c r="H865" s="16" t="s">
        <v>13</v>
      </c>
      <c r="I865" s="16">
        <v>2018</v>
      </c>
      <c r="J865" s="16" t="s">
        <v>4602</v>
      </c>
      <c r="K865" s="16" t="s">
        <v>510</v>
      </c>
      <c r="L865" s="16" t="s">
        <v>15</v>
      </c>
      <c r="M865" s="16" t="s">
        <v>4603</v>
      </c>
      <c r="N865" s="16"/>
      <c r="O865" s="16"/>
    </row>
    <row r="866" spans="1:15" x14ac:dyDescent="0.3">
      <c r="A866" s="16">
        <v>865</v>
      </c>
      <c r="B866" s="16" t="s">
        <v>1641</v>
      </c>
      <c r="C866" s="16" t="str">
        <f>"V5762521992001"</f>
        <v>V5762521992001</v>
      </c>
      <c r="D866" s="16" t="s">
        <v>4604</v>
      </c>
      <c r="E866" s="16" t="s">
        <v>4593</v>
      </c>
      <c r="F866" s="19" t="s">
        <v>4594</v>
      </c>
      <c r="G866" s="16" t="s">
        <v>4595</v>
      </c>
      <c r="H866" s="16" t="s">
        <v>13</v>
      </c>
      <c r="I866" s="16">
        <v>2018</v>
      </c>
      <c r="J866" s="16" t="s">
        <v>4605</v>
      </c>
      <c r="K866" s="16" t="s">
        <v>293</v>
      </c>
      <c r="L866" s="16" t="s">
        <v>15</v>
      </c>
      <c r="M866" s="16" t="s">
        <v>4606</v>
      </c>
      <c r="N866" s="16"/>
      <c r="O866" s="16"/>
    </row>
    <row r="867" spans="1:15" x14ac:dyDescent="0.3">
      <c r="A867" s="16">
        <v>866</v>
      </c>
      <c r="B867" s="16" t="s">
        <v>1641</v>
      </c>
      <c r="C867" s="16" t="str">
        <f>"V5762522020001"</f>
        <v>V5762522020001</v>
      </c>
      <c r="D867" s="16" t="s">
        <v>4607</v>
      </c>
      <c r="E867" s="16" t="s">
        <v>4593</v>
      </c>
      <c r="F867" s="19" t="s">
        <v>4594</v>
      </c>
      <c r="G867" s="16" t="s">
        <v>4595</v>
      </c>
      <c r="H867" s="16" t="s">
        <v>13</v>
      </c>
      <c r="I867" s="16">
        <v>2018</v>
      </c>
      <c r="J867" s="16" t="s">
        <v>4608</v>
      </c>
      <c r="K867" s="16" t="s">
        <v>4105</v>
      </c>
      <c r="L867" s="16" t="s">
        <v>15</v>
      </c>
      <c r="M867" s="16" t="s">
        <v>4609</v>
      </c>
      <c r="N867" s="16"/>
      <c r="O867" s="16"/>
    </row>
    <row r="868" spans="1:15" x14ac:dyDescent="0.3">
      <c r="A868" s="16">
        <v>867</v>
      </c>
      <c r="B868" s="16" t="s">
        <v>1641</v>
      </c>
      <c r="C868" s="16" t="str">
        <f>"V5762522090001"</f>
        <v>V5762522090001</v>
      </c>
      <c r="D868" s="16" t="s">
        <v>4610</v>
      </c>
      <c r="E868" s="16" t="s">
        <v>4593</v>
      </c>
      <c r="F868" s="19" t="s">
        <v>4594</v>
      </c>
      <c r="G868" s="16" t="s">
        <v>4595</v>
      </c>
      <c r="H868" s="16" t="s">
        <v>13</v>
      </c>
      <c r="I868" s="16">
        <v>2018</v>
      </c>
      <c r="J868" s="16" t="s">
        <v>4611</v>
      </c>
      <c r="K868" s="16" t="s">
        <v>4137</v>
      </c>
      <c r="L868" s="16" t="s">
        <v>15</v>
      </c>
      <c r="M868" s="16" t="s">
        <v>4612</v>
      </c>
      <c r="N868" s="16"/>
      <c r="O868" s="16"/>
    </row>
    <row r="869" spans="1:15" x14ac:dyDescent="0.3">
      <c r="A869" s="16">
        <v>868</v>
      </c>
      <c r="B869" s="16" t="s">
        <v>1641</v>
      </c>
      <c r="C869" s="16" t="str">
        <f>"V5762523116001"</f>
        <v>V5762523116001</v>
      </c>
      <c r="D869" s="16" t="s">
        <v>4613</v>
      </c>
      <c r="E869" s="16" t="s">
        <v>4593</v>
      </c>
      <c r="F869" s="19" t="s">
        <v>4594</v>
      </c>
      <c r="G869" s="16" t="s">
        <v>4595</v>
      </c>
      <c r="H869" s="16" t="s">
        <v>13</v>
      </c>
      <c r="I869" s="16">
        <v>2018</v>
      </c>
      <c r="J869" s="16" t="s">
        <v>4614</v>
      </c>
      <c r="K869" s="16" t="s">
        <v>64</v>
      </c>
      <c r="L869" s="16" t="s">
        <v>15</v>
      </c>
      <c r="M869" s="16" t="s">
        <v>4615</v>
      </c>
      <c r="N869" s="16"/>
      <c r="O869" s="16"/>
    </row>
    <row r="870" spans="1:15" x14ac:dyDescent="0.3">
      <c r="A870" s="16">
        <v>869</v>
      </c>
      <c r="B870" s="16" t="s">
        <v>1641</v>
      </c>
      <c r="C870" s="16" t="str">
        <f>"V5762523912001"</f>
        <v>V5762523912001</v>
      </c>
      <c r="D870" s="16" t="s">
        <v>4616</v>
      </c>
      <c r="E870" s="16" t="s">
        <v>4593</v>
      </c>
      <c r="F870" s="19" t="s">
        <v>4594</v>
      </c>
      <c r="G870" s="16" t="s">
        <v>4595</v>
      </c>
      <c r="H870" s="16" t="s">
        <v>13</v>
      </c>
      <c r="I870" s="16">
        <v>2018</v>
      </c>
      <c r="J870" s="16" t="s">
        <v>4617</v>
      </c>
      <c r="K870" s="16" t="s">
        <v>4618</v>
      </c>
      <c r="L870" s="16" t="s">
        <v>15</v>
      </c>
      <c r="M870" s="16" t="s">
        <v>4619</v>
      </c>
      <c r="N870" s="16"/>
      <c r="O870" s="16"/>
    </row>
    <row r="871" spans="1:15" x14ac:dyDescent="0.3">
      <c r="A871" s="16">
        <v>870</v>
      </c>
      <c r="B871" s="16" t="s">
        <v>1641</v>
      </c>
      <c r="C871" s="16" t="str">
        <f>"V5762523952001"</f>
        <v>V5762523952001</v>
      </c>
      <c r="D871" s="16" t="s">
        <v>4620</v>
      </c>
      <c r="E871" s="16" t="s">
        <v>4593</v>
      </c>
      <c r="F871" s="19" t="s">
        <v>4594</v>
      </c>
      <c r="G871" s="16" t="s">
        <v>4595</v>
      </c>
      <c r="H871" s="16" t="s">
        <v>13</v>
      </c>
      <c r="I871" s="16">
        <v>2018</v>
      </c>
      <c r="J871" s="16" t="s">
        <v>4621</v>
      </c>
      <c r="K871" s="16" t="s">
        <v>4622</v>
      </c>
      <c r="L871" s="16" t="s">
        <v>15</v>
      </c>
      <c r="M871" s="16" t="s">
        <v>4623</v>
      </c>
      <c r="N871" s="16"/>
      <c r="O871" s="16"/>
    </row>
    <row r="872" spans="1:15" x14ac:dyDescent="0.3">
      <c r="A872" s="16">
        <v>871</v>
      </c>
      <c r="B872" s="16" t="s">
        <v>1641</v>
      </c>
      <c r="C872" s="16" t="str">
        <f>"V5762529489001"</f>
        <v>V5762529489001</v>
      </c>
      <c r="D872" s="16" t="s">
        <v>4624</v>
      </c>
      <c r="E872" s="16" t="s">
        <v>4593</v>
      </c>
      <c r="F872" s="19" t="s">
        <v>4594</v>
      </c>
      <c r="G872" s="16" t="s">
        <v>4595</v>
      </c>
      <c r="H872" s="16" t="s">
        <v>13</v>
      </c>
      <c r="I872" s="16">
        <v>2018</v>
      </c>
      <c r="J872" s="16" t="s">
        <v>4625</v>
      </c>
      <c r="K872" s="16" t="s">
        <v>4105</v>
      </c>
      <c r="L872" s="16" t="s">
        <v>15</v>
      </c>
      <c r="M872" s="16" t="s">
        <v>4626</v>
      </c>
      <c r="N872" s="16"/>
      <c r="O872" s="16"/>
    </row>
    <row r="873" spans="1:15" x14ac:dyDescent="0.3">
      <c r="A873" s="16">
        <v>872</v>
      </c>
      <c r="B873" s="16" t="s">
        <v>1641</v>
      </c>
      <c r="C873" s="16" t="str">
        <f>"V5762531196001"</f>
        <v>V5762531196001</v>
      </c>
      <c r="D873" s="16" t="s">
        <v>4627</v>
      </c>
      <c r="E873" s="16" t="s">
        <v>4593</v>
      </c>
      <c r="F873" s="19" t="s">
        <v>4594</v>
      </c>
      <c r="G873" s="16" t="s">
        <v>4595</v>
      </c>
      <c r="H873" s="16" t="s">
        <v>13</v>
      </c>
      <c r="I873" s="16">
        <v>2018</v>
      </c>
      <c r="J873" s="16" t="s">
        <v>4628</v>
      </c>
      <c r="K873" s="16" t="s">
        <v>64</v>
      </c>
      <c r="L873" s="16" t="s">
        <v>15</v>
      </c>
      <c r="M873" s="16" t="s">
        <v>4629</v>
      </c>
      <c r="N873" s="16"/>
      <c r="O873" s="16"/>
    </row>
    <row r="874" spans="1:15" x14ac:dyDescent="0.3">
      <c r="A874" s="16">
        <v>873</v>
      </c>
      <c r="B874" s="16" t="s">
        <v>1641</v>
      </c>
      <c r="C874" s="16" t="str">
        <f>"V5762531782001"</f>
        <v>V5762531782001</v>
      </c>
      <c r="D874" s="16" t="s">
        <v>4630</v>
      </c>
      <c r="E874" s="16" t="s">
        <v>4593</v>
      </c>
      <c r="F874" s="19" t="s">
        <v>4594</v>
      </c>
      <c r="G874" s="16" t="s">
        <v>4595</v>
      </c>
      <c r="H874" s="16" t="s">
        <v>13</v>
      </c>
      <c r="I874" s="16">
        <v>2018</v>
      </c>
      <c r="J874" s="16" t="s">
        <v>4631</v>
      </c>
      <c r="K874" s="16" t="s">
        <v>36</v>
      </c>
      <c r="L874" s="16" t="s">
        <v>15</v>
      </c>
      <c r="M874" s="16" t="s">
        <v>4632</v>
      </c>
      <c r="N874" s="16"/>
      <c r="O874" s="16"/>
    </row>
    <row r="875" spans="1:15" x14ac:dyDescent="0.3">
      <c r="A875" s="16">
        <v>874</v>
      </c>
      <c r="B875" s="16" t="s">
        <v>1641</v>
      </c>
      <c r="C875" s="16" t="str">
        <f>"V6089736577001"</f>
        <v>V6089736577001</v>
      </c>
      <c r="D875" s="16" t="s">
        <v>4633</v>
      </c>
      <c r="E875" s="16"/>
      <c r="F875" s="19"/>
      <c r="G875" s="16" t="s">
        <v>4634</v>
      </c>
      <c r="H875" s="19" t="s">
        <v>13</v>
      </c>
      <c r="I875" s="16">
        <v>2019</v>
      </c>
      <c r="J875" s="16" t="s">
        <v>4635</v>
      </c>
      <c r="K875" s="16" t="s">
        <v>4636</v>
      </c>
      <c r="L875" s="16" t="s">
        <v>15</v>
      </c>
      <c r="M875" s="16" t="s">
        <v>4637</v>
      </c>
      <c r="N875" s="16"/>
      <c r="O875" s="16"/>
    </row>
    <row r="876" spans="1:15" x14ac:dyDescent="0.3">
      <c r="A876" s="16">
        <v>875</v>
      </c>
      <c r="B876" s="16" t="s">
        <v>1641</v>
      </c>
      <c r="C876" s="16" t="str">
        <f>"V6089737880001"</f>
        <v>V6089737880001</v>
      </c>
      <c r="D876" s="16" t="s">
        <v>4638</v>
      </c>
      <c r="E876" s="16"/>
      <c r="F876" s="19"/>
      <c r="G876" s="16" t="s">
        <v>4634</v>
      </c>
      <c r="H876" s="19" t="s">
        <v>13</v>
      </c>
      <c r="I876" s="16">
        <v>2019</v>
      </c>
      <c r="J876" s="16" t="s">
        <v>4639</v>
      </c>
      <c r="K876" s="16" t="s">
        <v>4640</v>
      </c>
      <c r="L876" s="16" t="s">
        <v>15</v>
      </c>
      <c r="M876" s="16" t="s">
        <v>4641</v>
      </c>
      <c r="N876" s="16"/>
      <c r="O876" s="16"/>
    </row>
    <row r="877" spans="1:15" x14ac:dyDescent="0.3">
      <c r="A877" s="16">
        <v>876</v>
      </c>
      <c r="B877" s="16" t="s">
        <v>1641</v>
      </c>
      <c r="C877" s="16" t="str">
        <f>"V6089739849001"</f>
        <v>V6089739849001</v>
      </c>
      <c r="D877" s="16" t="s">
        <v>4642</v>
      </c>
      <c r="E877" s="16"/>
      <c r="F877" s="19"/>
      <c r="G877" s="16" t="s">
        <v>4634</v>
      </c>
      <c r="H877" s="19" t="s">
        <v>13</v>
      </c>
      <c r="I877" s="16">
        <v>2019</v>
      </c>
      <c r="J877" s="16" t="s">
        <v>4643</v>
      </c>
      <c r="K877" s="16" t="s">
        <v>4640</v>
      </c>
      <c r="L877" s="16" t="s">
        <v>15</v>
      </c>
      <c r="M877" s="16" t="s">
        <v>4644</v>
      </c>
      <c r="N877" s="16"/>
      <c r="O877" s="16"/>
    </row>
    <row r="878" spans="1:15" x14ac:dyDescent="0.3">
      <c r="A878" s="16">
        <v>877</v>
      </c>
      <c r="B878" s="16" t="s">
        <v>1641</v>
      </c>
      <c r="C878" s="16" t="str">
        <f>"V6089741333001"</f>
        <v>V6089741333001</v>
      </c>
      <c r="D878" s="16" t="s">
        <v>4645</v>
      </c>
      <c r="E878" s="16"/>
      <c r="F878" s="19"/>
      <c r="G878" s="16" t="s">
        <v>4634</v>
      </c>
      <c r="H878" s="19" t="s">
        <v>13</v>
      </c>
      <c r="I878" s="16">
        <v>2019</v>
      </c>
      <c r="J878" s="16" t="s">
        <v>4646</v>
      </c>
      <c r="K878" s="16" t="s">
        <v>4640</v>
      </c>
      <c r="L878" s="16" t="s">
        <v>15</v>
      </c>
      <c r="M878" s="16" t="s">
        <v>4647</v>
      </c>
      <c r="N878" s="16"/>
      <c r="O878" s="16"/>
    </row>
    <row r="879" spans="1:15" x14ac:dyDescent="0.3">
      <c r="A879" s="16">
        <v>878</v>
      </c>
      <c r="B879" s="16" t="s">
        <v>1641</v>
      </c>
      <c r="C879" s="16" t="str">
        <f>"V6089742598001"</f>
        <v>V6089742598001</v>
      </c>
      <c r="D879" s="16" t="s">
        <v>4648</v>
      </c>
      <c r="E879" s="16"/>
      <c r="F879" s="19"/>
      <c r="G879" s="16" t="s">
        <v>4634</v>
      </c>
      <c r="H879" s="19" t="s">
        <v>13</v>
      </c>
      <c r="I879" s="16">
        <v>2019</v>
      </c>
      <c r="J879" s="16" t="s">
        <v>4649</v>
      </c>
      <c r="K879" s="16" t="s">
        <v>4640</v>
      </c>
      <c r="L879" s="16" t="s">
        <v>15</v>
      </c>
      <c r="M879" s="16" t="s">
        <v>4650</v>
      </c>
      <c r="N879" s="16"/>
      <c r="O879" s="16"/>
    </row>
    <row r="880" spans="1:15" x14ac:dyDescent="0.3">
      <c r="A880" s="16">
        <v>879</v>
      </c>
      <c r="B880" s="16" t="s">
        <v>1641</v>
      </c>
      <c r="C880" s="16" t="str">
        <f>"V6089744601001"</f>
        <v>V6089744601001</v>
      </c>
      <c r="D880" s="16" t="s">
        <v>4651</v>
      </c>
      <c r="E880" s="16"/>
      <c r="F880" s="19"/>
      <c r="G880" s="16" t="s">
        <v>4634</v>
      </c>
      <c r="H880" s="19" t="s">
        <v>13</v>
      </c>
      <c r="I880" s="16">
        <v>2019</v>
      </c>
      <c r="J880" s="16" t="s">
        <v>4652</v>
      </c>
      <c r="K880" s="16" t="s">
        <v>4653</v>
      </c>
      <c r="L880" s="16" t="s">
        <v>15</v>
      </c>
      <c r="M880" s="16" t="s">
        <v>4654</v>
      </c>
      <c r="N880" s="16"/>
      <c r="O880" s="16"/>
    </row>
    <row r="881" spans="1:15" x14ac:dyDescent="0.3">
      <c r="A881" s="16">
        <v>880</v>
      </c>
      <c r="B881" s="16" t="s">
        <v>1641</v>
      </c>
      <c r="C881" s="16" t="str">
        <f>"V6126307911001"</f>
        <v>V6126307911001</v>
      </c>
      <c r="D881" s="16" t="s">
        <v>4655</v>
      </c>
      <c r="E881" s="16" t="s">
        <v>4656</v>
      </c>
      <c r="F881" s="21">
        <v>9781260011463</v>
      </c>
      <c r="G881" s="16" t="s">
        <v>1645</v>
      </c>
      <c r="H881" s="16" t="s">
        <v>13</v>
      </c>
      <c r="I881" s="16">
        <v>2020</v>
      </c>
      <c r="J881" s="16" t="s">
        <v>4657</v>
      </c>
      <c r="K881" s="16" t="s">
        <v>712</v>
      </c>
      <c r="L881" s="16" t="s">
        <v>15</v>
      </c>
      <c r="M881" s="16" t="s">
        <v>4658</v>
      </c>
      <c r="N881" s="16"/>
      <c r="O881" s="16"/>
    </row>
    <row r="882" spans="1:15" x14ac:dyDescent="0.3">
      <c r="A882" s="16">
        <v>881</v>
      </c>
      <c r="B882" s="16" t="s">
        <v>1641</v>
      </c>
      <c r="C882" s="16" t="str">
        <f>"V6126355651001"</f>
        <v>V6126355651001</v>
      </c>
      <c r="D882" s="16" t="s">
        <v>4659</v>
      </c>
      <c r="E882" s="16" t="s">
        <v>4656</v>
      </c>
      <c r="F882" s="21">
        <v>9781260011463</v>
      </c>
      <c r="G882" s="16" t="s">
        <v>1645</v>
      </c>
      <c r="H882" s="16" t="s">
        <v>13</v>
      </c>
      <c r="I882" s="16">
        <v>2020</v>
      </c>
      <c r="J882" s="16" t="s">
        <v>4660</v>
      </c>
      <c r="K882" s="16" t="s">
        <v>712</v>
      </c>
      <c r="L882" s="16" t="s">
        <v>15</v>
      </c>
      <c r="M882" s="16" t="s">
        <v>4661</v>
      </c>
      <c r="N882" s="16"/>
      <c r="O882" s="16"/>
    </row>
    <row r="883" spans="1:15" x14ac:dyDescent="0.3">
      <c r="A883" s="16">
        <v>882</v>
      </c>
      <c r="B883" s="16" t="s">
        <v>1641</v>
      </c>
      <c r="C883" s="16" t="str">
        <f>"V6126356674001"</f>
        <v>V6126356674001</v>
      </c>
      <c r="D883" s="16" t="s">
        <v>4662</v>
      </c>
      <c r="E883" s="16" t="s">
        <v>4656</v>
      </c>
      <c r="F883" s="21">
        <v>9781260011463</v>
      </c>
      <c r="G883" s="16" t="s">
        <v>1645</v>
      </c>
      <c r="H883" s="16" t="s">
        <v>13</v>
      </c>
      <c r="I883" s="16">
        <v>2020</v>
      </c>
      <c r="J883" s="16" t="s">
        <v>4663</v>
      </c>
      <c r="K883" s="16" t="s">
        <v>712</v>
      </c>
      <c r="L883" s="16" t="s">
        <v>15</v>
      </c>
      <c r="M883" s="16" t="s">
        <v>4664</v>
      </c>
      <c r="N883" s="16"/>
      <c r="O883" s="16"/>
    </row>
    <row r="884" spans="1:15" x14ac:dyDescent="0.3">
      <c r="A884" s="16">
        <v>883</v>
      </c>
      <c r="B884" s="16" t="s">
        <v>1641</v>
      </c>
      <c r="C884" s="16" t="str">
        <f>"V6126356723001"</f>
        <v>V6126356723001</v>
      </c>
      <c r="D884" s="16" t="s">
        <v>4665</v>
      </c>
      <c r="E884" s="16" t="s">
        <v>4656</v>
      </c>
      <c r="F884" s="21">
        <v>9781260011463</v>
      </c>
      <c r="G884" s="16" t="s">
        <v>1645</v>
      </c>
      <c r="H884" s="16" t="s">
        <v>13</v>
      </c>
      <c r="I884" s="16">
        <v>2020</v>
      </c>
      <c r="J884" s="16" t="s">
        <v>4666</v>
      </c>
      <c r="K884" s="16" t="s">
        <v>712</v>
      </c>
      <c r="L884" s="16" t="s">
        <v>15</v>
      </c>
      <c r="M884" s="16" t="s">
        <v>4667</v>
      </c>
      <c r="N884" s="16"/>
      <c r="O884" s="16"/>
    </row>
    <row r="885" spans="1:15" x14ac:dyDescent="0.3">
      <c r="A885" s="16">
        <v>884</v>
      </c>
      <c r="B885" s="16" t="s">
        <v>1641</v>
      </c>
      <c r="C885" s="16" t="str">
        <f>"V6126356795001"</f>
        <v>V6126356795001</v>
      </c>
      <c r="D885" s="16" t="s">
        <v>4668</v>
      </c>
      <c r="E885" s="16" t="s">
        <v>4669</v>
      </c>
      <c r="F885" s="21">
        <v>9781260454246</v>
      </c>
      <c r="G885" s="16" t="s">
        <v>2022</v>
      </c>
      <c r="H885" s="16" t="s">
        <v>13</v>
      </c>
      <c r="I885" s="16">
        <v>2019</v>
      </c>
      <c r="J885" s="16" t="s">
        <v>4670</v>
      </c>
      <c r="K885" s="16" t="s">
        <v>4671</v>
      </c>
      <c r="L885" s="16" t="s">
        <v>15</v>
      </c>
      <c r="M885" s="16" t="s">
        <v>4672</v>
      </c>
      <c r="N885" s="16"/>
      <c r="O885" s="16"/>
    </row>
    <row r="886" spans="1:15" x14ac:dyDescent="0.3">
      <c r="A886" s="16">
        <v>885</v>
      </c>
      <c r="B886" s="16" t="s">
        <v>1641</v>
      </c>
      <c r="C886" s="16" t="str">
        <f>"V6126357670001"</f>
        <v>V6126357670001</v>
      </c>
      <c r="D886" s="16" t="s">
        <v>4673</v>
      </c>
      <c r="E886" s="16" t="s">
        <v>4656</v>
      </c>
      <c r="F886" s="21">
        <v>9781260011463</v>
      </c>
      <c r="G886" s="16" t="s">
        <v>1645</v>
      </c>
      <c r="H886" s="16" t="s">
        <v>13</v>
      </c>
      <c r="I886" s="16">
        <v>2020</v>
      </c>
      <c r="J886" s="16" t="s">
        <v>4674</v>
      </c>
      <c r="K886" s="16" t="s">
        <v>2103</v>
      </c>
      <c r="L886" s="16" t="s">
        <v>15</v>
      </c>
      <c r="M886" s="16" t="s">
        <v>4675</v>
      </c>
      <c r="N886" s="16"/>
      <c r="O886" s="16"/>
    </row>
    <row r="887" spans="1:15" x14ac:dyDescent="0.3">
      <c r="A887" s="16">
        <v>886</v>
      </c>
      <c r="B887" s="16" t="s">
        <v>1641</v>
      </c>
      <c r="C887" s="16" t="str">
        <f>"V6126357768001"</f>
        <v>V6126357768001</v>
      </c>
      <c r="D887" s="16" t="s">
        <v>4676</v>
      </c>
      <c r="E887" s="16" t="s">
        <v>4656</v>
      </c>
      <c r="F887" s="21">
        <v>9781260011463</v>
      </c>
      <c r="G887" s="16" t="s">
        <v>1645</v>
      </c>
      <c r="H887" s="16" t="s">
        <v>13</v>
      </c>
      <c r="I887" s="16">
        <v>2020</v>
      </c>
      <c r="J887" s="16" t="s">
        <v>4677</v>
      </c>
      <c r="K887" s="16" t="s">
        <v>712</v>
      </c>
      <c r="L887" s="16" t="s">
        <v>15</v>
      </c>
      <c r="M887" s="16" t="s">
        <v>4678</v>
      </c>
      <c r="N887" s="16"/>
      <c r="O887" s="16"/>
    </row>
    <row r="888" spans="1:15" x14ac:dyDescent="0.3">
      <c r="A888" s="16">
        <v>887</v>
      </c>
      <c r="B888" s="16" t="s">
        <v>1641</v>
      </c>
      <c r="C888" s="16" t="str">
        <f>"V6126357776001"</f>
        <v>V6126357776001</v>
      </c>
      <c r="D888" s="16" t="s">
        <v>4679</v>
      </c>
      <c r="E888" s="16" t="s">
        <v>4656</v>
      </c>
      <c r="F888" s="21">
        <v>9781260011463</v>
      </c>
      <c r="G888" s="16" t="s">
        <v>1645</v>
      </c>
      <c r="H888" s="16" t="s">
        <v>13</v>
      </c>
      <c r="I888" s="16">
        <v>2020</v>
      </c>
      <c r="J888" s="16" t="s">
        <v>4680</v>
      </c>
      <c r="K888" s="16" t="s">
        <v>712</v>
      </c>
      <c r="L888" s="16" t="s">
        <v>15</v>
      </c>
      <c r="M888" s="16" t="s">
        <v>4681</v>
      </c>
      <c r="N888" s="16"/>
      <c r="O888" s="16"/>
    </row>
    <row r="889" spans="1:15" x14ac:dyDescent="0.3">
      <c r="A889" s="16">
        <v>888</v>
      </c>
      <c r="B889" s="16" t="s">
        <v>1641</v>
      </c>
      <c r="C889" s="16" t="str">
        <f>"V6126357792001"</f>
        <v>V6126357792001</v>
      </c>
      <c r="D889" s="16" t="s">
        <v>4682</v>
      </c>
      <c r="E889" s="16" t="s">
        <v>4656</v>
      </c>
      <c r="F889" s="21">
        <v>9781260011463</v>
      </c>
      <c r="G889" s="16" t="s">
        <v>1645</v>
      </c>
      <c r="H889" s="16" t="s">
        <v>13</v>
      </c>
      <c r="I889" s="16">
        <v>2020</v>
      </c>
      <c r="J889" s="16" t="s">
        <v>4683</v>
      </c>
      <c r="K889" s="16" t="s">
        <v>712</v>
      </c>
      <c r="L889" s="16" t="s">
        <v>15</v>
      </c>
      <c r="M889" s="16" t="s">
        <v>4684</v>
      </c>
      <c r="N889" s="16"/>
      <c r="O889" s="16"/>
    </row>
    <row r="890" spans="1:15" x14ac:dyDescent="0.3">
      <c r="A890" s="16">
        <v>889</v>
      </c>
      <c r="B890" s="16" t="s">
        <v>1641</v>
      </c>
      <c r="C890" s="16" t="str">
        <f>"V6126358290001"</f>
        <v>V6126358290001</v>
      </c>
      <c r="D890" s="16" t="s">
        <v>4685</v>
      </c>
      <c r="E890" s="16" t="s">
        <v>4656</v>
      </c>
      <c r="F890" s="21">
        <v>9781260011463</v>
      </c>
      <c r="G890" s="16" t="s">
        <v>1645</v>
      </c>
      <c r="H890" s="16" t="s">
        <v>13</v>
      </c>
      <c r="I890" s="16">
        <v>2020</v>
      </c>
      <c r="J890" s="16" t="s">
        <v>4686</v>
      </c>
      <c r="K890" s="16" t="s">
        <v>712</v>
      </c>
      <c r="L890" s="16" t="s">
        <v>15</v>
      </c>
      <c r="M890" s="16" t="s">
        <v>4687</v>
      </c>
      <c r="N890" s="16"/>
      <c r="O890" s="16"/>
    </row>
    <row r="891" spans="1:15" x14ac:dyDescent="0.3">
      <c r="A891" s="16">
        <v>890</v>
      </c>
      <c r="B891" s="16" t="s">
        <v>1641</v>
      </c>
      <c r="C891" s="16" t="str">
        <f>"V6126358640001"</f>
        <v>V6126358640001</v>
      </c>
      <c r="D891" s="16" t="s">
        <v>4688</v>
      </c>
      <c r="E891" s="16" t="s">
        <v>4656</v>
      </c>
      <c r="F891" s="21">
        <v>9781260011463</v>
      </c>
      <c r="G891" s="16" t="s">
        <v>1645</v>
      </c>
      <c r="H891" s="16" t="s">
        <v>13</v>
      </c>
      <c r="I891" s="16">
        <v>2020</v>
      </c>
      <c r="J891" s="16" t="s">
        <v>4689</v>
      </c>
      <c r="K891" s="16" t="s">
        <v>712</v>
      </c>
      <c r="L891" s="16" t="s">
        <v>15</v>
      </c>
      <c r="M891" s="16" t="s">
        <v>4690</v>
      </c>
      <c r="N891" s="16"/>
      <c r="O891" s="16"/>
    </row>
    <row r="892" spans="1:15" x14ac:dyDescent="0.3">
      <c r="A892" s="16">
        <v>891</v>
      </c>
      <c r="B892" s="16" t="s">
        <v>1641</v>
      </c>
      <c r="C892" s="16" t="str">
        <f>"V6126358677001"</f>
        <v>V6126358677001</v>
      </c>
      <c r="D892" s="16" t="s">
        <v>4691</v>
      </c>
      <c r="E892" s="16" t="s">
        <v>4656</v>
      </c>
      <c r="F892" s="21">
        <v>9781260011463</v>
      </c>
      <c r="G892" s="16" t="s">
        <v>1645</v>
      </c>
      <c r="H892" s="16" t="s">
        <v>13</v>
      </c>
      <c r="I892" s="16">
        <v>2020</v>
      </c>
      <c r="J892" s="16" t="s">
        <v>4692</v>
      </c>
      <c r="K892" s="16" t="s">
        <v>712</v>
      </c>
      <c r="L892" s="16" t="s">
        <v>15</v>
      </c>
      <c r="M892" s="16" t="s">
        <v>4693</v>
      </c>
      <c r="N892" s="16"/>
      <c r="O892" s="16"/>
    </row>
    <row r="893" spans="1:15" x14ac:dyDescent="0.3">
      <c r="A893" s="16">
        <v>892</v>
      </c>
      <c r="B893" s="16" t="s">
        <v>1641</v>
      </c>
      <c r="C893" s="16" t="str">
        <f>"V6126358685001"</f>
        <v>V6126358685001</v>
      </c>
      <c r="D893" s="16" t="s">
        <v>4694</v>
      </c>
      <c r="E893" s="16" t="s">
        <v>4656</v>
      </c>
      <c r="F893" s="21">
        <v>9781260011463</v>
      </c>
      <c r="G893" s="16" t="s">
        <v>1645</v>
      </c>
      <c r="H893" s="16" t="s">
        <v>13</v>
      </c>
      <c r="I893" s="16">
        <v>2020</v>
      </c>
      <c r="J893" s="16" t="s">
        <v>4695</v>
      </c>
      <c r="K893" s="16" t="s">
        <v>712</v>
      </c>
      <c r="L893" s="16" t="s">
        <v>15</v>
      </c>
      <c r="M893" s="16" t="s">
        <v>4696</v>
      </c>
      <c r="N893" s="16"/>
      <c r="O893" s="16"/>
    </row>
    <row r="894" spans="1:15" x14ac:dyDescent="0.3">
      <c r="A894" s="16">
        <v>893</v>
      </c>
      <c r="B894" s="16" t="s">
        <v>1641</v>
      </c>
      <c r="C894" s="16" t="str">
        <f>"V6126358686001"</f>
        <v>V6126358686001</v>
      </c>
      <c r="D894" s="16" t="s">
        <v>4697</v>
      </c>
      <c r="E894" s="16" t="s">
        <v>4656</v>
      </c>
      <c r="F894" s="21">
        <v>9781260011463</v>
      </c>
      <c r="G894" s="16" t="s">
        <v>1645</v>
      </c>
      <c r="H894" s="16" t="s">
        <v>13</v>
      </c>
      <c r="I894" s="16">
        <v>2020</v>
      </c>
      <c r="J894" s="16" t="s">
        <v>4698</v>
      </c>
      <c r="K894" s="16" t="s">
        <v>712</v>
      </c>
      <c r="L894" s="16" t="s">
        <v>15</v>
      </c>
      <c r="M894" s="16" t="s">
        <v>4699</v>
      </c>
      <c r="N894" s="16"/>
      <c r="O894" s="16"/>
    </row>
    <row r="895" spans="1:15" x14ac:dyDescent="0.3">
      <c r="A895" s="16">
        <v>894</v>
      </c>
      <c r="B895" s="16" t="s">
        <v>1641</v>
      </c>
      <c r="C895" s="16" t="str">
        <f>"V6126358688001"</f>
        <v>V6126358688001</v>
      </c>
      <c r="D895" s="16" t="s">
        <v>4700</v>
      </c>
      <c r="E895" s="16" t="s">
        <v>4656</v>
      </c>
      <c r="F895" s="21">
        <v>9781260011463</v>
      </c>
      <c r="G895" s="16" t="s">
        <v>1645</v>
      </c>
      <c r="H895" s="16" t="s">
        <v>13</v>
      </c>
      <c r="I895" s="16">
        <v>2020</v>
      </c>
      <c r="J895" s="16" t="s">
        <v>4701</v>
      </c>
      <c r="K895" s="16" t="s">
        <v>712</v>
      </c>
      <c r="L895" s="16" t="s">
        <v>15</v>
      </c>
      <c r="M895" s="16" t="s">
        <v>4702</v>
      </c>
      <c r="N895" s="16"/>
      <c r="O895" s="16"/>
    </row>
    <row r="896" spans="1:15" x14ac:dyDescent="0.3">
      <c r="A896" s="16">
        <v>895</v>
      </c>
      <c r="B896" s="16" t="s">
        <v>1641</v>
      </c>
      <c r="C896" s="16" t="str">
        <f>"V6126359203001"</f>
        <v>V6126359203001</v>
      </c>
      <c r="D896" s="16" t="s">
        <v>4703</v>
      </c>
      <c r="E896" s="16" t="s">
        <v>4656</v>
      </c>
      <c r="F896" s="21">
        <v>9781260011463</v>
      </c>
      <c r="G896" s="16" t="s">
        <v>1645</v>
      </c>
      <c r="H896" s="16" t="s">
        <v>13</v>
      </c>
      <c r="I896" s="16">
        <v>2020</v>
      </c>
      <c r="J896" s="16" t="s">
        <v>4704</v>
      </c>
      <c r="K896" s="16" t="s">
        <v>712</v>
      </c>
      <c r="L896" s="16" t="s">
        <v>15</v>
      </c>
      <c r="M896" s="16" t="s">
        <v>4705</v>
      </c>
      <c r="N896" s="16"/>
      <c r="O896" s="16"/>
    </row>
    <row r="897" spans="1:15" x14ac:dyDescent="0.3">
      <c r="A897" s="16">
        <v>896</v>
      </c>
      <c r="B897" s="16" t="s">
        <v>1641</v>
      </c>
      <c r="C897" s="16" t="str">
        <f>"V6126359212001"</f>
        <v>V6126359212001</v>
      </c>
      <c r="D897" s="16" t="s">
        <v>4706</v>
      </c>
      <c r="E897" s="16" t="s">
        <v>4656</v>
      </c>
      <c r="F897" s="21">
        <v>9781260011463</v>
      </c>
      <c r="G897" s="16" t="s">
        <v>1645</v>
      </c>
      <c r="H897" s="16" t="s">
        <v>13</v>
      </c>
      <c r="I897" s="16">
        <v>2020</v>
      </c>
      <c r="J897" s="16" t="s">
        <v>4707</v>
      </c>
      <c r="K897" s="16" t="s">
        <v>712</v>
      </c>
      <c r="L897" s="16" t="s">
        <v>15</v>
      </c>
      <c r="M897" s="16" t="s">
        <v>4708</v>
      </c>
      <c r="N897" s="16"/>
      <c r="O897" s="16"/>
    </row>
    <row r="898" spans="1:15" x14ac:dyDescent="0.3">
      <c r="A898" s="16">
        <v>897</v>
      </c>
      <c r="B898" s="16" t="s">
        <v>1641</v>
      </c>
      <c r="C898" s="16" t="str">
        <f>"V6126359823001"</f>
        <v>V6126359823001</v>
      </c>
      <c r="D898" s="16" t="s">
        <v>4709</v>
      </c>
      <c r="E898" s="16" t="s">
        <v>4669</v>
      </c>
      <c r="F898" s="21">
        <v>9781260454246</v>
      </c>
      <c r="G898" s="16" t="s">
        <v>2022</v>
      </c>
      <c r="H898" s="16" t="s">
        <v>13</v>
      </c>
      <c r="I898" s="16">
        <v>2019</v>
      </c>
      <c r="J898" s="16" t="s">
        <v>4710</v>
      </c>
      <c r="K898" s="16" t="s">
        <v>4711</v>
      </c>
      <c r="L898" s="16" t="s">
        <v>15</v>
      </c>
      <c r="M898" s="16" t="s">
        <v>4712</v>
      </c>
      <c r="N898" s="16"/>
      <c r="O898" s="16"/>
    </row>
    <row r="899" spans="1:15" x14ac:dyDescent="0.3">
      <c r="A899" s="16">
        <v>898</v>
      </c>
      <c r="B899" s="16" t="s">
        <v>1641</v>
      </c>
      <c r="C899" s="16" t="str">
        <f>"V6126360142001"</f>
        <v>V6126360142001</v>
      </c>
      <c r="D899" s="16" t="s">
        <v>4713</v>
      </c>
      <c r="E899" s="16" t="s">
        <v>4656</v>
      </c>
      <c r="F899" s="21">
        <v>9781260011463</v>
      </c>
      <c r="G899" s="16" t="s">
        <v>1645</v>
      </c>
      <c r="H899" s="16" t="s">
        <v>13</v>
      </c>
      <c r="I899" s="16">
        <v>2020</v>
      </c>
      <c r="J899" s="16" t="s">
        <v>4714</v>
      </c>
      <c r="K899" s="16" t="s">
        <v>712</v>
      </c>
      <c r="L899" s="16" t="s">
        <v>15</v>
      </c>
      <c r="M899" s="16" t="s">
        <v>4715</v>
      </c>
      <c r="N899" s="16"/>
      <c r="O899" s="16"/>
    </row>
    <row r="900" spans="1:15" x14ac:dyDescent="0.3">
      <c r="A900" s="16">
        <v>899</v>
      </c>
      <c r="B900" s="16" t="s">
        <v>1641</v>
      </c>
      <c r="C900" s="16" t="str">
        <f>"V6126360158001"</f>
        <v>V6126360158001</v>
      </c>
      <c r="D900" s="16" t="s">
        <v>4716</v>
      </c>
      <c r="E900" s="16" t="s">
        <v>4656</v>
      </c>
      <c r="F900" s="21">
        <v>9781260011463</v>
      </c>
      <c r="G900" s="16" t="s">
        <v>1645</v>
      </c>
      <c r="H900" s="16" t="s">
        <v>13</v>
      </c>
      <c r="I900" s="16">
        <v>2020</v>
      </c>
      <c r="J900" s="16" t="s">
        <v>4717</v>
      </c>
      <c r="K900" s="16" t="s">
        <v>712</v>
      </c>
      <c r="L900" s="16" t="s">
        <v>15</v>
      </c>
      <c r="M900" s="16" t="s">
        <v>4718</v>
      </c>
      <c r="N900" s="16"/>
      <c r="O900" s="16"/>
    </row>
    <row r="901" spans="1:15" x14ac:dyDescent="0.3">
      <c r="A901" s="16">
        <v>900</v>
      </c>
      <c r="B901" s="16" t="s">
        <v>1641</v>
      </c>
      <c r="C901" s="16" t="str">
        <f>"V6126360187001"</f>
        <v>V6126360187001</v>
      </c>
      <c r="D901" s="16" t="s">
        <v>4719</v>
      </c>
      <c r="E901" s="16" t="s">
        <v>4656</v>
      </c>
      <c r="F901" s="21">
        <v>9781260011463</v>
      </c>
      <c r="G901" s="16" t="s">
        <v>1645</v>
      </c>
      <c r="H901" s="16" t="s">
        <v>13</v>
      </c>
      <c r="I901" s="16">
        <v>2020</v>
      </c>
      <c r="J901" s="16" t="s">
        <v>4720</v>
      </c>
      <c r="K901" s="16" t="s">
        <v>712</v>
      </c>
      <c r="L901" s="16" t="s">
        <v>15</v>
      </c>
      <c r="M901" s="16" t="s">
        <v>4721</v>
      </c>
      <c r="N901" s="16"/>
      <c r="O901" s="16"/>
    </row>
    <row r="902" spans="1:15" x14ac:dyDescent="0.3">
      <c r="A902" s="16">
        <v>901</v>
      </c>
      <c r="B902" s="16" t="s">
        <v>1641</v>
      </c>
      <c r="C902" s="16" t="str">
        <f>"V6126360188001"</f>
        <v>V6126360188001</v>
      </c>
      <c r="D902" s="16" t="s">
        <v>4722</v>
      </c>
      <c r="E902" s="16" t="s">
        <v>4656</v>
      </c>
      <c r="F902" s="21">
        <v>9781260011463</v>
      </c>
      <c r="G902" s="16" t="s">
        <v>1645</v>
      </c>
      <c r="H902" s="16" t="s">
        <v>13</v>
      </c>
      <c r="I902" s="16">
        <v>2020</v>
      </c>
      <c r="J902" s="16" t="s">
        <v>4723</v>
      </c>
      <c r="K902" s="16" t="s">
        <v>712</v>
      </c>
      <c r="L902" s="16" t="s">
        <v>15</v>
      </c>
      <c r="M902" s="16" t="s">
        <v>4724</v>
      </c>
      <c r="N902" s="16"/>
      <c r="O902" s="16"/>
    </row>
    <row r="903" spans="1:15" x14ac:dyDescent="0.3">
      <c r="A903" s="16">
        <v>902</v>
      </c>
      <c r="B903" s="16" t="s">
        <v>1641</v>
      </c>
      <c r="C903" s="16" t="str">
        <f>"V6126360839001"</f>
        <v>V6126360839001</v>
      </c>
      <c r="D903" s="16" t="s">
        <v>4725</v>
      </c>
      <c r="E903" s="16" t="s">
        <v>4656</v>
      </c>
      <c r="F903" s="21">
        <v>9781260011463</v>
      </c>
      <c r="G903" s="16" t="s">
        <v>1645</v>
      </c>
      <c r="H903" s="16" t="s">
        <v>13</v>
      </c>
      <c r="I903" s="16">
        <v>2020</v>
      </c>
      <c r="J903" s="16" t="s">
        <v>4726</v>
      </c>
      <c r="K903" s="16" t="s">
        <v>712</v>
      </c>
      <c r="L903" s="16" t="s">
        <v>15</v>
      </c>
      <c r="M903" s="16" t="s">
        <v>4727</v>
      </c>
      <c r="N903" s="16"/>
      <c r="O903" s="16"/>
    </row>
    <row r="904" spans="1:15" x14ac:dyDescent="0.3">
      <c r="A904" s="16">
        <v>903</v>
      </c>
      <c r="B904" s="16" t="s">
        <v>1641</v>
      </c>
      <c r="C904" s="16" t="str">
        <f>"V6126360842001"</f>
        <v>V6126360842001</v>
      </c>
      <c r="D904" s="16" t="s">
        <v>4728</v>
      </c>
      <c r="E904" s="16" t="s">
        <v>4656</v>
      </c>
      <c r="F904" s="21">
        <v>9781260011463</v>
      </c>
      <c r="G904" s="16" t="s">
        <v>1645</v>
      </c>
      <c r="H904" s="16" t="s">
        <v>13</v>
      </c>
      <c r="I904" s="16">
        <v>2020</v>
      </c>
      <c r="J904" s="16" t="s">
        <v>4729</v>
      </c>
      <c r="K904" s="16" t="s">
        <v>712</v>
      </c>
      <c r="L904" s="16" t="s">
        <v>15</v>
      </c>
      <c r="M904" s="16" t="s">
        <v>4730</v>
      </c>
      <c r="N904" s="16"/>
      <c r="O904" s="16"/>
    </row>
    <row r="905" spans="1:15" x14ac:dyDescent="0.3">
      <c r="A905" s="16">
        <v>904</v>
      </c>
      <c r="B905" s="16" t="s">
        <v>1641</v>
      </c>
      <c r="C905" s="16" t="str">
        <f>"V6126360844001"</f>
        <v>V6126360844001</v>
      </c>
      <c r="D905" s="16" t="s">
        <v>4731</v>
      </c>
      <c r="E905" s="16" t="s">
        <v>4656</v>
      </c>
      <c r="F905" s="21">
        <v>9781260011463</v>
      </c>
      <c r="G905" s="16" t="s">
        <v>1645</v>
      </c>
      <c r="H905" s="16" t="s">
        <v>13</v>
      </c>
      <c r="I905" s="16">
        <v>2020</v>
      </c>
      <c r="J905" s="16" t="s">
        <v>4732</v>
      </c>
      <c r="K905" s="16" t="s">
        <v>712</v>
      </c>
      <c r="L905" s="16" t="s">
        <v>15</v>
      </c>
      <c r="M905" s="16" t="s">
        <v>4733</v>
      </c>
      <c r="N905" s="16"/>
      <c r="O905" s="16"/>
    </row>
    <row r="906" spans="1:15" x14ac:dyDescent="0.3">
      <c r="A906" s="16">
        <v>905</v>
      </c>
      <c r="B906" s="16" t="s">
        <v>1641</v>
      </c>
      <c r="C906" s="16" t="str">
        <f>"V6126360868001"</f>
        <v>V6126360868001</v>
      </c>
      <c r="D906" s="16" t="s">
        <v>4734</v>
      </c>
      <c r="E906" s="16" t="s">
        <v>4656</v>
      </c>
      <c r="F906" s="21">
        <v>9781260011463</v>
      </c>
      <c r="G906" s="16" t="s">
        <v>1645</v>
      </c>
      <c r="H906" s="16" t="s">
        <v>13</v>
      </c>
      <c r="I906" s="16">
        <v>2020</v>
      </c>
      <c r="J906" s="16" t="s">
        <v>4735</v>
      </c>
      <c r="K906" s="16" t="s">
        <v>712</v>
      </c>
      <c r="L906" s="16" t="s">
        <v>15</v>
      </c>
      <c r="M906" s="16" t="s">
        <v>4736</v>
      </c>
      <c r="N906" s="16"/>
      <c r="O906" s="16"/>
    </row>
    <row r="907" spans="1:15" x14ac:dyDescent="0.3">
      <c r="A907" s="16">
        <v>906</v>
      </c>
      <c r="B907" s="16" t="s">
        <v>1641</v>
      </c>
      <c r="C907" s="16" t="str">
        <f>"V6126361565001"</f>
        <v>V6126361565001</v>
      </c>
      <c r="D907" s="16" t="s">
        <v>4737</v>
      </c>
      <c r="E907" s="16" t="s">
        <v>4656</v>
      </c>
      <c r="F907" s="21">
        <v>9781260011463</v>
      </c>
      <c r="G907" s="16" t="s">
        <v>1645</v>
      </c>
      <c r="H907" s="16" t="s">
        <v>13</v>
      </c>
      <c r="I907" s="16">
        <v>2020</v>
      </c>
      <c r="J907" s="16" t="s">
        <v>4738</v>
      </c>
      <c r="K907" s="16" t="s">
        <v>712</v>
      </c>
      <c r="L907" s="16" t="s">
        <v>15</v>
      </c>
      <c r="M907" s="16" t="s">
        <v>4739</v>
      </c>
      <c r="N907" s="16"/>
      <c r="O907" s="16"/>
    </row>
    <row r="908" spans="1:15" x14ac:dyDescent="0.3">
      <c r="A908" s="16">
        <v>907</v>
      </c>
      <c r="B908" s="16" t="s">
        <v>1641</v>
      </c>
      <c r="C908" s="16" t="str">
        <f>"V6126362626001"</f>
        <v>V6126362626001</v>
      </c>
      <c r="D908" s="16" t="s">
        <v>4740</v>
      </c>
      <c r="E908" s="16" t="s">
        <v>4669</v>
      </c>
      <c r="F908" s="21">
        <v>9781260454246</v>
      </c>
      <c r="G908" s="16" t="s">
        <v>2022</v>
      </c>
      <c r="H908" s="16" t="s">
        <v>13</v>
      </c>
      <c r="I908" s="16">
        <v>2019</v>
      </c>
      <c r="J908" s="16" t="s">
        <v>4741</v>
      </c>
      <c r="K908" s="16" t="s">
        <v>4711</v>
      </c>
      <c r="L908" s="16" t="s">
        <v>15</v>
      </c>
      <c r="M908" s="16" t="s">
        <v>4742</v>
      </c>
      <c r="N908" s="16"/>
      <c r="O908" s="16"/>
    </row>
    <row r="909" spans="1:15" x14ac:dyDescent="0.3">
      <c r="A909" s="16">
        <v>908</v>
      </c>
      <c r="B909" s="16" t="s">
        <v>1641</v>
      </c>
      <c r="C909" s="16" t="str">
        <f>"V6126362631001"</f>
        <v>V6126362631001</v>
      </c>
      <c r="D909" s="16" t="s">
        <v>4743</v>
      </c>
      <c r="E909" s="16" t="s">
        <v>4669</v>
      </c>
      <c r="F909" s="21">
        <v>9781260454246</v>
      </c>
      <c r="G909" s="16" t="s">
        <v>2022</v>
      </c>
      <c r="H909" s="16" t="s">
        <v>13</v>
      </c>
      <c r="I909" s="16">
        <v>2019</v>
      </c>
      <c r="J909" s="16" t="s">
        <v>4744</v>
      </c>
      <c r="K909" s="16" t="s">
        <v>4745</v>
      </c>
      <c r="L909" s="16" t="s">
        <v>15</v>
      </c>
      <c r="M909" s="16" t="s">
        <v>4746</v>
      </c>
      <c r="N909" s="16"/>
      <c r="O909" s="16"/>
    </row>
    <row r="910" spans="1:15" x14ac:dyDescent="0.3">
      <c r="A910" s="16">
        <v>909</v>
      </c>
      <c r="B910" s="16" t="s">
        <v>1641</v>
      </c>
      <c r="C910" s="16" t="str">
        <f>"V6126362634001"</f>
        <v>V6126362634001</v>
      </c>
      <c r="D910" s="16" t="s">
        <v>4747</v>
      </c>
      <c r="E910" s="16" t="s">
        <v>4669</v>
      </c>
      <c r="F910" s="21">
        <v>9781260454246</v>
      </c>
      <c r="G910" s="16" t="s">
        <v>2022</v>
      </c>
      <c r="H910" s="16" t="s">
        <v>13</v>
      </c>
      <c r="I910" s="16">
        <v>2019</v>
      </c>
      <c r="J910" s="16" t="s">
        <v>4748</v>
      </c>
      <c r="K910" s="16" t="s">
        <v>3369</v>
      </c>
      <c r="L910" s="16" t="s">
        <v>15</v>
      </c>
      <c r="M910" s="16" t="s">
        <v>4749</v>
      </c>
      <c r="N910" s="16"/>
      <c r="O910" s="16"/>
    </row>
    <row r="911" spans="1:15" x14ac:dyDescent="0.3">
      <c r="A911" s="16">
        <v>910</v>
      </c>
      <c r="B911" s="16" t="s">
        <v>1641</v>
      </c>
      <c r="C911" s="16" t="str">
        <f>"V6126363039001"</f>
        <v>V6126363039001</v>
      </c>
      <c r="D911" s="16" t="s">
        <v>4750</v>
      </c>
      <c r="E911" s="16" t="s">
        <v>4669</v>
      </c>
      <c r="F911" s="21">
        <v>9781260454246</v>
      </c>
      <c r="G911" s="16" t="s">
        <v>2022</v>
      </c>
      <c r="H911" s="16" t="s">
        <v>13</v>
      </c>
      <c r="I911" s="16">
        <v>2019</v>
      </c>
      <c r="J911" s="16" t="s">
        <v>4751</v>
      </c>
      <c r="K911" s="16" t="s">
        <v>2090</v>
      </c>
      <c r="L911" s="16" t="s">
        <v>15</v>
      </c>
      <c r="M911" s="16" t="s">
        <v>4752</v>
      </c>
      <c r="N911" s="16"/>
      <c r="O911" s="16"/>
    </row>
    <row r="912" spans="1:15" x14ac:dyDescent="0.3">
      <c r="A912" s="16">
        <v>911</v>
      </c>
      <c r="B912" s="16" t="s">
        <v>1641</v>
      </c>
      <c r="C912" s="16" t="str">
        <f>"V6126363047001"</f>
        <v>V6126363047001</v>
      </c>
      <c r="D912" s="16" t="s">
        <v>4753</v>
      </c>
      <c r="E912" s="16" t="s">
        <v>4669</v>
      </c>
      <c r="F912" s="21">
        <v>9781260454246</v>
      </c>
      <c r="G912" s="16" t="s">
        <v>2022</v>
      </c>
      <c r="H912" s="16" t="s">
        <v>13</v>
      </c>
      <c r="I912" s="16">
        <v>2019</v>
      </c>
      <c r="J912" s="16" t="s">
        <v>4754</v>
      </c>
      <c r="K912" s="16" t="s">
        <v>3412</v>
      </c>
      <c r="L912" s="16" t="s">
        <v>15</v>
      </c>
      <c r="M912" s="16" t="s">
        <v>4755</v>
      </c>
      <c r="N912" s="16"/>
      <c r="O912" s="16"/>
    </row>
    <row r="913" spans="1:15" x14ac:dyDescent="0.3">
      <c r="A913" s="16">
        <v>912</v>
      </c>
      <c r="B913" s="16" t="s">
        <v>1641</v>
      </c>
      <c r="C913" s="16" t="str">
        <f>"V6126363057001"</f>
        <v>V6126363057001</v>
      </c>
      <c r="D913" s="16" t="s">
        <v>4756</v>
      </c>
      <c r="E913" s="16" t="s">
        <v>4669</v>
      </c>
      <c r="F913" s="21">
        <v>9781260454246</v>
      </c>
      <c r="G913" s="16" t="s">
        <v>2022</v>
      </c>
      <c r="H913" s="16" t="s">
        <v>13</v>
      </c>
      <c r="I913" s="16">
        <v>2019</v>
      </c>
      <c r="J913" s="16" t="s">
        <v>4757</v>
      </c>
      <c r="K913" s="16" t="s">
        <v>4758</v>
      </c>
      <c r="L913" s="16" t="s">
        <v>15</v>
      </c>
      <c r="M913" s="16" t="s">
        <v>4759</v>
      </c>
      <c r="N913" s="16"/>
      <c r="O913" s="16"/>
    </row>
    <row r="914" spans="1:15" x14ac:dyDescent="0.3">
      <c r="A914" s="16">
        <v>913</v>
      </c>
      <c r="B914" s="16" t="s">
        <v>1641</v>
      </c>
      <c r="C914" s="16" t="str">
        <f>"V6126363058001"</f>
        <v>V6126363058001</v>
      </c>
      <c r="D914" s="16" t="s">
        <v>4760</v>
      </c>
      <c r="E914" s="16" t="s">
        <v>4669</v>
      </c>
      <c r="F914" s="21">
        <v>9781260454246</v>
      </c>
      <c r="G914" s="16" t="s">
        <v>2022</v>
      </c>
      <c r="H914" s="16" t="s">
        <v>13</v>
      </c>
      <c r="I914" s="16">
        <v>2019</v>
      </c>
      <c r="J914" s="16" t="s">
        <v>4761</v>
      </c>
      <c r="K914" s="16" t="s">
        <v>3369</v>
      </c>
      <c r="L914" s="16" t="s">
        <v>15</v>
      </c>
      <c r="M914" s="16" t="s">
        <v>4762</v>
      </c>
      <c r="N914" s="16"/>
      <c r="O914" s="16"/>
    </row>
    <row r="915" spans="1:15" x14ac:dyDescent="0.3">
      <c r="A915" s="16">
        <v>914</v>
      </c>
      <c r="B915" s="16" t="s">
        <v>1641</v>
      </c>
      <c r="C915" s="16" t="str">
        <f>"V6126363828001"</f>
        <v>V6126363828001</v>
      </c>
      <c r="D915" s="16" t="s">
        <v>4763</v>
      </c>
      <c r="E915" s="16" t="s">
        <v>4669</v>
      </c>
      <c r="F915" s="21">
        <v>9781260454246</v>
      </c>
      <c r="G915" s="16" t="s">
        <v>2022</v>
      </c>
      <c r="H915" s="16" t="s">
        <v>13</v>
      </c>
      <c r="I915" s="16">
        <v>2019</v>
      </c>
      <c r="J915" s="16" t="s">
        <v>4764</v>
      </c>
      <c r="K915" s="16" t="s">
        <v>4671</v>
      </c>
      <c r="L915" s="16" t="s">
        <v>15</v>
      </c>
      <c r="M915" s="16" t="s">
        <v>4765</v>
      </c>
      <c r="N915" s="16"/>
      <c r="O915" s="16"/>
    </row>
    <row r="916" spans="1:15" x14ac:dyDescent="0.3">
      <c r="A916" s="16">
        <v>915</v>
      </c>
      <c r="B916" s="16" t="s">
        <v>1641</v>
      </c>
      <c r="C916" s="16" t="str">
        <f>"V6126363834001"</f>
        <v>V6126363834001</v>
      </c>
      <c r="D916" s="16" t="s">
        <v>4766</v>
      </c>
      <c r="E916" s="16" t="s">
        <v>4669</v>
      </c>
      <c r="F916" s="21">
        <v>9781260454246</v>
      </c>
      <c r="G916" s="16" t="s">
        <v>2022</v>
      </c>
      <c r="H916" s="16" t="s">
        <v>13</v>
      </c>
      <c r="I916" s="16">
        <v>2019</v>
      </c>
      <c r="J916" s="16" t="s">
        <v>4767</v>
      </c>
      <c r="K916" s="16" t="s">
        <v>4768</v>
      </c>
      <c r="L916" s="16" t="s">
        <v>15</v>
      </c>
      <c r="M916" s="16" t="s">
        <v>4769</v>
      </c>
      <c r="N916" s="16"/>
      <c r="O916" s="16"/>
    </row>
    <row r="917" spans="1:15" x14ac:dyDescent="0.3">
      <c r="A917" s="16">
        <v>916</v>
      </c>
      <c r="B917" s="16" t="s">
        <v>1641</v>
      </c>
      <c r="C917" s="16" t="str">
        <f>"V6126365704001"</f>
        <v>V6126365704001</v>
      </c>
      <c r="D917" s="16" t="s">
        <v>4770</v>
      </c>
      <c r="E917" s="16" t="s">
        <v>4669</v>
      </c>
      <c r="F917" s="21">
        <v>9781260454246</v>
      </c>
      <c r="G917" s="16" t="s">
        <v>2022</v>
      </c>
      <c r="H917" s="16" t="s">
        <v>13</v>
      </c>
      <c r="I917" s="16">
        <v>2019</v>
      </c>
      <c r="J917" s="16" t="s">
        <v>4771</v>
      </c>
      <c r="K917" s="16" t="s">
        <v>3412</v>
      </c>
      <c r="L917" s="16" t="s">
        <v>15</v>
      </c>
      <c r="M917" s="16" t="s">
        <v>4772</v>
      </c>
      <c r="N917" s="16"/>
      <c r="O917" s="16"/>
    </row>
    <row r="918" spans="1:15" x14ac:dyDescent="0.3">
      <c r="A918" s="16">
        <v>917</v>
      </c>
      <c r="B918" s="16" t="s">
        <v>1641</v>
      </c>
      <c r="C918" s="16" t="str">
        <f>"V6126365868001"</f>
        <v>V6126365868001</v>
      </c>
      <c r="D918" s="16" t="s">
        <v>4773</v>
      </c>
      <c r="E918" s="16" t="s">
        <v>4669</v>
      </c>
      <c r="F918" s="21">
        <v>9781260454246</v>
      </c>
      <c r="G918" s="16" t="s">
        <v>2022</v>
      </c>
      <c r="H918" s="16" t="s">
        <v>13</v>
      </c>
      <c r="I918" s="16">
        <v>2019</v>
      </c>
      <c r="J918" s="16" t="s">
        <v>4774</v>
      </c>
      <c r="K918" s="16" t="s">
        <v>4775</v>
      </c>
      <c r="L918" s="16" t="s">
        <v>15</v>
      </c>
      <c r="M918" s="16" t="s">
        <v>4776</v>
      </c>
      <c r="N918" s="16"/>
      <c r="O918" s="16"/>
    </row>
    <row r="919" spans="1:15" x14ac:dyDescent="0.3">
      <c r="A919" s="16">
        <v>918</v>
      </c>
      <c r="B919" s="16" t="s">
        <v>1641</v>
      </c>
      <c r="C919" s="16" t="str">
        <f>"V6126366440001"</f>
        <v>V6126366440001</v>
      </c>
      <c r="D919" s="16" t="s">
        <v>4777</v>
      </c>
      <c r="E919" s="16" t="s">
        <v>4669</v>
      </c>
      <c r="F919" s="21">
        <v>9781260454246</v>
      </c>
      <c r="G919" s="16" t="s">
        <v>2022</v>
      </c>
      <c r="H919" s="16" t="s">
        <v>13</v>
      </c>
      <c r="I919" s="16">
        <v>2019</v>
      </c>
      <c r="J919" s="16" t="s">
        <v>4778</v>
      </c>
      <c r="K919" s="16" t="s">
        <v>4779</v>
      </c>
      <c r="L919" s="16" t="s">
        <v>15</v>
      </c>
      <c r="M919" s="16" t="s">
        <v>4780</v>
      </c>
      <c r="N919" s="16"/>
      <c r="O919" s="16"/>
    </row>
    <row r="920" spans="1:15" x14ac:dyDescent="0.3">
      <c r="A920" s="16">
        <v>919</v>
      </c>
      <c r="B920" s="16" t="s">
        <v>1641</v>
      </c>
      <c r="C920" s="16" t="str">
        <f>"V6126366448001"</f>
        <v>V6126366448001</v>
      </c>
      <c r="D920" s="16" t="s">
        <v>4781</v>
      </c>
      <c r="E920" s="16" t="s">
        <v>4669</v>
      </c>
      <c r="F920" s="21">
        <v>9781260454246</v>
      </c>
      <c r="G920" s="16" t="s">
        <v>2022</v>
      </c>
      <c r="H920" s="16" t="s">
        <v>13</v>
      </c>
      <c r="I920" s="16">
        <v>2019</v>
      </c>
      <c r="J920" s="16" t="s">
        <v>4782</v>
      </c>
      <c r="K920" s="16" t="s">
        <v>3412</v>
      </c>
      <c r="L920" s="16" t="s">
        <v>15</v>
      </c>
      <c r="M920" s="16" t="s">
        <v>4783</v>
      </c>
      <c r="N920" s="16"/>
      <c r="O920" s="16"/>
    </row>
    <row r="921" spans="1:15" x14ac:dyDescent="0.3">
      <c r="A921" s="16">
        <v>920</v>
      </c>
      <c r="B921" s="16" t="s">
        <v>1641</v>
      </c>
      <c r="C921" s="16" t="str">
        <f>"V6126366458001"</f>
        <v>V6126366458001</v>
      </c>
      <c r="D921" s="16" t="s">
        <v>4784</v>
      </c>
      <c r="E921" s="16" t="s">
        <v>4669</v>
      </c>
      <c r="F921" s="21">
        <v>9781260454246</v>
      </c>
      <c r="G921" s="16" t="s">
        <v>2022</v>
      </c>
      <c r="H921" s="16" t="s">
        <v>13</v>
      </c>
      <c r="I921" s="16">
        <v>2019</v>
      </c>
      <c r="J921" s="16" t="s">
        <v>4785</v>
      </c>
      <c r="K921" s="16" t="s">
        <v>2090</v>
      </c>
      <c r="L921" s="16" t="s">
        <v>15</v>
      </c>
      <c r="M921" s="16" t="s">
        <v>4786</v>
      </c>
      <c r="N921" s="16"/>
      <c r="O921" s="16"/>
    </row>
    <row r="922" spans="1:15" x14ac:dyDescent="0.3">
      <c r="A922" s="16">
        <v>921</v>
      </c>
      <c r="B922" s="16" t="s">
        <v>1641</v>
      </c>
      <c r="C922" s="16" t="str">
        <f>"V6126366698001"</f>
        <v>V6126366698001</v>
      </c>
      <c r="D922" s="16" t="s">
        <v>4787</v>
      </c>
      <c r="E922" s="16" t="s">
        <v>4669</v>
      </c>
      <c r="F922" s="21">
        <v>9781260454246</v>
      </c>
      <c r="G922" s="16" t="s">
        <v>2022</v>
      </c>
      <c r="H922" s="16" t="s">
        <v>13</v>
      </c>
      <c r="I922" s="16">
        <v>2019</v>
      </c>
      <c r="J922" s="16" t="s">
        <v>4788</v>
      </c>
      <c r="K922" s="16" t="s">
        <v>4779</v>
      </c>
      <c r="L922" s="16" t="s">
        <v>15</v>
      </c>
      <c r="M922" s="16" t="s">
        <v>4789</v>
      </c>
      <c r="N922" s="16"/>
      <c r="O922" s="16"/>
    </row>
    <row r="923" spans="1:15" x14ac:dyDescent="0.3">
      <c r="A923" s="16">
        <v>922</v>
      </c>
      <c r="B923" s="16" t="s">
        <v>1641</v>
      </c>
      <c r="C923" s="16" t="str">
        <f>"V6126367116001"</f>
        <v>V6126367116001</v>
      </c>
      <c r="D923" s="16" t="s">
        <v>4790</v>
      </c>
      <c r="E923" s="16" t="s">
        <v>4669</v>
      </c>
      <c r="F923" s="21">
        <v>9781260454246</v>
      </c>
      <c r="G923" s="16" t="s">
        <v>2022</v>
      </c>
      <c r="H923" s="16" t="s">
        <v>13</v>
      </c>
      <c r="I923" s="16">
        <v>2019</v>
      </c>
      <c r="J923" s="16" t="s">
        <v>4791</v>
      </c>
      <c r="K923" s="16" t="s">
        <v>4792</v>
      </c>
      <c r="L923" s="16" t="s">
        <v>15</v>
      </c>
      <c r="M923" s="16" t="s">
        <v>4793</v>
      </c>
      <c r="N923" s="16"/>
      <c r="O923" s="16"/>
    </row>
    <row r="924" spans="1:15" x14ac:dyDescent="0.3">
      <c r="A924" s="16">
        <v>923</v>
      </c>
      <c r="B924" s="16" t="s">
        <v>1641</v>
      </c>
      <c r="C924" s="16" t="str">
        <f>"V6126367121001"</f>
        <v>V6126367121001</v>
      </c>
      <c r="D924" s="16" t="s">
        <v>4794</v>
      </c>
      <c r="E924" s="16" t="s">
        <v>4669</v>
      </c>
      <c r="F924" s="21">
        <v>9781260454246</v>
      </c>
      <c r="G924" s="16" t="s">
        <v>2022</v>
      </c>
      <c r="H924" s="16" t="s">
        <v>13</v>
      </c>
      <c r="I924" s="16">
        <v>2019</v>
      </c>
      <c r="J924" s="16" t="s">
        <v>4795</v>
      </c>
      <c r="K924" s="16" t="s">
        <v>2090</v>
      </c>
      <c r="L924" s="16" t="s">
        <v>15</v>
      </c>
      <c r="M924" s="16" t="s">
        <v>4796</v>
      </c>
      <c r="N924" s="16"/>
      <c r="O924" s="16"/>
    </row>
    <row r="925" spans="1:15" x14ac:dyDescent="0.3">
      <c r="A925" s="16">
        <v>924</v>
      </c>
      <c r="B925" s="16" t="s">
        <v>1641</v>
      </c>
      <c r="C925" s="16" t="str">
        <f>"V6126367132001"</f>
        <v>V6126367132001</v>
      </c>
      <c r="D925" s="16" t="s">
        <v>4797</v>
      </c>
      <c r="E925" s="16" t="s">
        <v>4669</v>
      </c>
      <c r="F925" s="21">
        <v>9781260454246</v>
      </c>
      <c r="G925" s="16" t="s">
        <v>2022</v>
      </c>
      <c r="H925" s="16" t="s">
        <v>13</v>
      </c>
      <c r="I925" s="16">
        <v>2019</v>
      </c>
      <c r="J925" s="16" t="s">
        <v>4798</v>
      </c>
      <c r="K925" s="16" t="s">
        <v>3412</v>
      </c>
      <c r="L925" s="16" t="s">
        <v>15</v>
      </c>
      <c r="M925" s="16" t="s">
        <v>4799</v>
      </c>
      <c r="N925" s="16"/>
      <c r="O925" s="16"/>
    </row>
    <row r="926" spans="1:15" x14ac:dyDescent="0.3">
      <c r="A926" s="16">
        <v>925</v>
      </c>
      <c r="B926" s="16" t="s">
        <v>1641</v>
      </c>
      <c r="C926" s="16" t="str">
        <f>"V6126368004001"</f>
        <v>V6126368004001</v>
      </c>
      <c r="D926" s="16" t="s">
        <v>4800</v>
      </c>
      <c r="E926" s="16" t="s">
        <v>4669</v>
      </c>
      <c r="F926" s="21">
        <v>9781260454246</v>
      </c>
      <c r="G926" s="16" t="s">
        <v>2022</v>
      </c>
      <c r="H926" s="16" t="s">
        <v>13</v>
      </c>
      <c r="I926" s="16">
        <v>2019</v>
      </c>
      <c r="J926" s="16" t="s">
        <v>4801</v>
      </c>
      <c r="K926" s="16" t="s">
        <v>3369</v>
      </c>
      <c r="L926" s="16" t="s">
        <v>15</v>
      </c>
      <c r="M926" s="16" t="s">
        <v>4802</v>
      </c>
      <c r="N926" s="16"/>
      <c r="O926" s="16"/>
    </row>
    <row r="927" spans="1:15" x14ac:dyDescent="0.3">
      <c r="A927" s="16">
        <v>926</v>
      </c>
      <c r="B927" s="16" t="s">
        <v>1641</v>
      </c>
      <c r="C927" s="16" t="str">
        <f>"V6126368455001"</f>
        <v>V6126368455001</v>
      </c>
      <c r="D927" s="16" t="s">
        <v>4803</v>
      </c>
      <c r="E927" s="16" t="s">
        <v>4669</v>
      </c>
      <c r="F927" s="21">
        <v>9781260454246</v>
      </c>
      <c r="G927" s="16" t="s">
        <v>2022</v>
      </c>
      <c r="H927" s="16" t="s">
        <v>13</v>
      </c>
      <c r="I927" s="16">
        <v>2019</v>
      </c>
      <c r="J927" s="16" t="s">
        <v>4804</v>
      </c>
      <c r="K927" s="16" t="s">
        <v>4775</v>
      </c>
      <c r="L927" s="16" t="s">
        <v>15</v>
      </c>
      <c r="M927" s="16" t="s">
        <v>4805</v>
      </c>
      <c r="N927" s="16"/>
      <c r="O927" s="16"/>
    </row>
    <row r="928" spans="1:15" x14ac:dyDescent="0.3">
      <c r="A928" s="16">
        <v>927</v>
      </c>
      <c r="B928" s="16" t="s">
        <v>1641</v>
      </c>
      <c r="C928" s="16" t="str">
        <f>"V6126368475001"</f>
        <v>V6126368475001</v>
      </c>
      <c r="D928" s="16" t="s">
        <v>4806</v>
      </c>
      <c r="E928" s="16" t="s">
        <v>4669</v>
      </c>
      <c r="F928" s="21">
        <v>9781260454246</v>
      </c>
      <c r="G928" s="16" t="s">
        <v>2022</v>
      </c>
      <c r="H928" s="16" t="s">
        <v>13</v>
      </c>
      <c r="I928" s="16">
        <v>2019</v>
      </c>
      <c r="J928" s="16" t="s">
        <v>4807</v>
      </c>
      <c r="K928" s="16" t="s">
        <v>3412</v>
      </c>
      <c r="L928" s="16" t="s">
        <v>15</v>
      </c>
      <c r="M928" s="16" t="s">
        <v>4808</v>
      </c>
      <c r="N928" s="16"/>
      <c r="O928" s="16"/>
    </row>
    <row r="929" spans="1:15" x14ac:dyDescent="0.3">
      <c r="A929" s="16">
        <v>928</v>
      </c>
      <c r="B929" s="16" t="s">
        <v>1641</v>
      </c>
      <c r="C929" s="16" t="str">
        <f>"V6129538277001"</f>
        <v>V6129538277001</v>
      </c>
      <c r="D929" s="16" t="s">
        <v>4809</v>
      </c>
      <c r="E929" s="16" t="s">
        <v>4810</v>
      </c>
      <c r="F929" s="21">
        <v>9781260454208</v>
      </c>
      <c r="G929" s="16" t="s">
        <v>1645</v>
      </c>
      <c r="H929" s="16" t="s">
        <v>13</v>
      </c>
      <c r="I929" s="16">
        <v>2020</v>
      </c>
      <c r="J929" s="16" t="s">
        <v>4811</v>
      </c>
      <c r="K929" s="16" t="s">
        <v>3882</v>
      </c>
      <c r="L929" s="16" t="s">
        <v>15</v>
      </c>
      <c r="M929" s="16" t="s">
        <v>4812</v>
      </c>
      <c r="N929" s="16"/>
      <c r="O929" s="16"/>
    </row>
    <row r="930" spans="1:15" x14ac:dyDescent="0.3">
      <c r="A930" s="16">
        <v>929</v>
      </c>
      <c r="B930" s="16" t="s">
        <v>1641</v>
      </c>
      <c r="C930" s="16" t="str">
        <f>"V6129538875001"</f>
        <v>V6129538875001</v>
      </c>
      <c r="D930" s="16" t="s">
        <v>4813</v>
      </c>
      <c r="E930" s="16" t="s">
        <v>4810</v>
      </c>
      <c r="F930" s="21">
        <v>9781260454208</v>
      </c>
      <c r="G930" s="16" t="s">
        <v>1645</v>
      </c>
      <c r="H930" s="16" t="s">
        <v>13</v>
      </c>
      <c r="I930" s="16">
        <v>2020</v>
      </c>
      <c r="J930" s="16" t="s">
        <v>4814</v>
      </c>
      <c r="K930" s="16" t="s">
        <v>48</v>
      </c>
      <c r="L930" s="16" t="s">
        <v>15</v>
      </c>
      <c r="M930" s="16" t="s">
        <v>4815</v>
      </c>
      <c r="N930" s="16"/>
      <c r="O930" s="16"/>
    </row>
    <row r="931" spans="1:15" x14ac:dyDescent="0.3">
      <c r="A931" s="16">
        <v>930</v>
      </c>
      <c r="B931" s="16" t="s">
        <v>1641</v>
      </c>
      <c r="C931" s="16" t="str">
        <f>"V6129538876001"</f>
        <v>V6129538876001</v>
      </c>
      <c r="D931" s="16" t="s">
        <v>4816</v>
      </c>
      <c r="E931" s="16" t="s">
        <v>4810</v>
      </c>
      <c r="F931" s="21">
        <v>9781260454208</v>
      </c>
      <c r="G931" s="16" t="s">
        <v>1645</v>
      </c>
      <c r="H931" s="16" t="s">
        <v>13</v>
      </c>
      <c r="I931" s="16">
        <v>2020</v>
      </c>
      <c r="J931" s="16" t="s">
        <v>4817</v>
      </c>
      <c r="K931" s="16" t="s">
        <v>48</v>
      </c>
      <c r="L931" s="16" t="s">
        <v>15</v>
      </c>
      <c r="M931" s="16" t="s">
        <v>4818</v>
      </c>
      <c r="N931" s="16"/>
      <c r="O931" s="16"/>
    </row>
    <row r="932" spans="1:15" x14ac:dyDescent="0.3">
      <c r="A932" s="16">
        <v>931</v>
      </c>
      <c r="B932" s="16" t="s">
        <v>1641</v>
      </c>
      <c r="C932" s="16" t="str">
        <f>"V6129539807001"</f>
        <v>V6129539807001</v>
      </c>
      <c r="D932" s="16" t="s">
        <v>4819</v>
      </c>
      <c r="E932" s="16" t="s">
        <v>4810</v>
      </c>
      <c r="F932" s="21">
        <v>9781260454208</v>
      </c>
      <c r="G932" s="16" t="s">
        <v>1645</v>
      </c>
      <c r="H932" s="16" t="s">
        <v>13</v>
      </c>
      <c r="I932" s="16">
        <v>2020</v>
      </c>
      <c r="J932" s="16" t="s">
        <v>4820</v>
      </c>
      <c r="K932" s="16" t="s">
        <v>48</v>
      </c>
      <c r="L932" s="16" t="s">
        <v>15</v>
      </c>
      <c r="M932" s="16" t="s">
        <v>4821</v>
      </c>
      <c r="N932" s="16"/>
      <c r="O932" s="16"/>
    </row>
    <row r="933" spans="1:15" x14ac:dyDescent="0.3">
      <c r="A933" s="16">
        <v>932</v>
      </c>
      <c r="B933" s="16" t="s">
        <v>1641</v>
      </c>
      <c r="C933" s="16" t="str">
        <f>"V6129541763001"</f>
        <v>V6129541763001</v>
      </c>
      <c r="D933" s="16" t="s">
        <v>4822</v>
      </c>
      <c r="E933" s="16" t="s">
        <v>4810</v>
      </c>
      <c r="F933" s="21">
        <v>9781260454208</v>
      </c>
      <c r="G933" s="16" t="s">
        <v>1645</v>
      </c>
      <c r="H933" s="16" t="s">
        <v>13</v>
      </c>
      <c r="I933" s="16">
        <v>2020</v>
      </c>
      <c r="J933" s="16" t="s">
        <v>2399</v>
      </c>
      <c r="K933" s="16" t="s">
        <v>2400</v>
      </c>
      <c r="L933" s="16" t="s">
        <v>15</v>
      </c>
      <c r="M933" s="16" t="s">
        <v>4823</v>
      </c>
      <c r="N933" s="16"/>
      <c r="O933" s="16"/>
    </row>
    <row r="934" spans="1:15" x14ac:dyDescent="0.3">
      <c r="A934" s="16">
        <v>933</v>
      </c>
      <c r="B934" s="16" t="s">
        <v>1641</v>
      </c>
      <c r="C934" s="16" t="str">
        <f>"V6129541769001"</f>
        <v>V6129541769001</v>
      </c>
      <c r="D934" s="16" t="s">
        <v>4824</v>
      </c>
      <c r="E934" s="16" t="s">
        <v>4810</v>
      </c>
      <c r="F934" s="21">
        <v>9781260454208</v>
      </c>
      <c r="G934" s="16" t="s">
        <v>1645</v>
      </c>
      <c r="H934" s="16" t="s">
        <v>13</v>
      </c>
      <c r="I934" s="16">
        <v>2020</v>
      </c>
      <c r="J934" s="16" t="s">
        <v>4825</v>
      </c>
      <c r="K934" s="16" t="s">
        <v>48</v>
      </c>
      <c r="L934" s="16" t="s">
        <v>15</v>
      </c>
      <c r="M934" s="16" t="s">
        <v>4826</v>
      </c>
      <c r="N934" s="16"/>
      <c r="O934" s="16"/>
    </row>
    <row r="935" spans="1:15" x14ac:dyDescent="0.3">
      <c r="A935" s="16">
        <v>934</v>
      </c>
      <c r="B935" s="16" t="s">
        <v>1641</v>
      </c>
      <c r="C935" s="16" t="str">
        <f>"V6129541770001"</f>
        <v>V6129541770001</v>
      </c>
      <c r="D935" s="16" t="s">
        <v>4827</v>
      </c>
      <c r="E935" s="16" t="s">
        <v>4810</v>
      </c>
      <c r="F935" s="21">
        <v>9781260454208</v>
      </c>
      <c r="G935" s="16" t="s">
        <v>1645</v>
      </c>
      <c r="H935" s="16" t="s">
        <v>13</v>
      </c>
      <c r="I935" s="16">
        <v>2020</v>
      </c>
      <c r="J935" s="16" t="s">
        <v>4828</v>
      </c>
      <c r="K935" s="16" t="s">
        <v>3772</v>
      </c>
      <c r="L935" s="16" t="s">
        <v>15</v>
      </c>
      <c r="M935" s="16" t="s">
        <v>4829</v>
      </c>
      <c r="N935" s="16"/>
      <c r="O935" s="16"/>
    </row>
    <row r="936" spans="1:15" x14ac:dyDescent="0.3">
      <c r="A936" s="16">
        <v>935</v>
      </c>
      <c r="B936" s="16" t="s">
        <v>1641</v>
      </c>
      <c r="C936" s="16" t="str">
        <f>"V6129541771001"</f>
        <v>V6129541771001</v>
      </c>
      <c r="D936" s="16" t="s">
        <v>4830</v>
      </c>
      <c r="E936" s="16" t="s">
        <v>4810</v>
      </c>
      <c r="F936" s="21">
        <v>9781260454208</v>
      </c>
      <c r="G936" s="16" t="s">
        <v>1645</v>
      </c>
      <c r="H936" s="16" t="s">
        <v>13</v>
      </c>
      <c r="I936" s="16">
        <v>2020</v>
      </c>
      <c r="J936" s="16" t="s">
        <v>4831</v>
      </c>
      <c r="K936" s="16" t="s">
        <v>48</v>
      </c>
      <c r="L936" s="16" t="s">
        <v>15</v>
      </c>
      <c r="M936" s="16" t="s">
        <v>4832</v>
      </c>
      <c r="N936" s="16"/>
      <c r="O936" s="16"/>
    </row>
    <row r="937" spans="1:15" x14ac:dyDescent="0.3">
      <c r="A937" s="16">
        <v>936</v>
      </c>
      <c r="B937" s="16" t="s">
        <v>1641</v>
      </c>
      <c r="C937" s="16" t="str">
        <f>"V6129542080001"</f>
        <v>V6129542080001</v>
      </c>
      <c r="D937" s="16" t="s">
        <v>4833</v>
      </c>
      <c r="E937" s="16" t="s">
        <v>4810</v>
      </c>
      <c r="F937" s="21">
        <v>9781260454208</v>
      </c>
      <c r="G937" s="16" t="s">
        <v>1645</v>
      </c>
      <c r="H937" s="16" t="s">
        <v>13</v>
      </c>
      <c r="I937" s="16">
        <v>2020</v>
      </c>
      <c r="J937" s="16" t="s">
        <v>4834</v>
      </c>
      <c r="K937" s="16" t="s">
        <v>48</v>
      </c>
      <c r="L937" s="16" t="s">
        <v>15</v>
      </c>
      <c r="M937" s="16" t="s">
        <v>4835</v>
      </c>
      <c r="N937" s="16"/>
      <c r="O937" s="16"/>
    </row>
    <row r="938" spans="1:15" x14ac:dyDescent="0.3">
      <c r="A938" s="16">
        <v>937</v>
      </c>
      <c r="B938" s="16" t="s">
        <v>1641</v>
      </c>
      <c r="C938" s="16" t="str">
        <f>"V6129542154001"</f>
        <v>V6129542154001</v>
      </c>
      <c r="D938" s="16" t="s">
        <v>4836</v>
      </c>
      <c r="E938" s="16" t="s">
        <v>4810</v>
      </c>
      <c r="F938" s="21">
        <v>9781260454208</v>
      </c>
      <c r="G938" s="16" t="s">
        <v>1645</v>
      </c>
      <c r="H938" s="16" t="s">
        <v>13</v>
      </c>
      <c r="I938" s="16">
        <v>2020</v>
      </c>
      <c r="J938" s="16" t="s">
        <v>4837</v>
      </c>
      <c r="K938" s="16" t="s">
        <v>48</v>
      </c>
      <c r="L938" s="16" t="s">
        <v>15</v>
      </c>
      <c r="M938" s="16" t="s">
        <v>4838</v>
      </c>
      <c r="N938" s="16"/>
      <c r="O938" s="16"/>
    </row>
    <row r="939" spans="1:15" x14ac:dyDescent="0.3">
      <c r="A939" s="16">
        <v>938</v>
      </c>
      <c r="B939" s="16" t="s">
        <v>1641</v>
      </c>
      <c r="C939" s="16" t="str">
        <f>"V6129542156001"</f>
        <v>V6129542156001</v>
      </c>
      <c r="D939" s="16" t="s">
        <v>4839</v>
      </c>
      <c r="E939" s="16" t="s">
        <v>4810</v>
      </c>
      <c r="F939" s="21">
        <v>9781260454208</v>
      </c>
      <c r="G939" s="16" t="s">
        <v>1645</v>
      </c>
      <c r="H939" s="16" t="s">
        <v>13</v>
      </c>
      <c r="I939" s="16">
        <v>2020</v>
      </c>
      <c r="J939" s="16" t="s">
        <v>3907</v>
      </c>
      <c r="K939" s="16" t="s">
        <v>48</v>
      </c>
      <c r="L939" s="16" t="s">
        <v>15</v>
      </c>
      <c r="M939" s="16" t="s">
        <v>4840</v>
      </c>
      <c r="N939" s="16"/>
      <c r="O939" s="16"/>
    </row>
    <row r="940" spans="1:15" x14ac:dyDescent="0.3">
      <c r="A940" s="16">
        <v>939</v>
      </c>
      <c r="B940" s="16" t="s">
        <v>1641</v>
      </c>
      <c r="C940" s="16" t="str">
        <f>"V6129542162001"</f>
        <v>V6129542162001</v>
      </c>
      <c r="D940" s="16" t="s">
        <v>4841</v>
      </c>
      <c r="E940" s="16" t="s">
        <v>4810</v>
      </c>
      <c r="F940" s="21">
        <v>9781260454208</v>
      </c>
      <c r="G940" s="16" t="s">
        <v>1645</v>
      </c>
      <c r="H940" s="16" t="s">
        <v>13</v>
      </c>
      <c r="I940" s="16">
        <v>2020</v>
      </c>
      <c r="J940" s="16" t="s">
        <v>4842</v>
      </c>
      <c r="K940" s="16" t="s">
        <v>48</v>
      </c>
      <c r="L940" s="16" t="s">
        <v>15</v>
      </c>
      <c r="M940" s="16" t="s">
        <v>4843</v>
      </c>
      <c r="N940" s="16"/>
      <c r="O940" s="16"/>
    </row>
    <row r="941" spans="1:15" x14ac:dyDescent="0.3">
      <c r="A941" s="16">
        <v>940</v>
      </c>
      <c r="B941" s="16" t="s">
        <v>1641</v>
      </c>
      <c r="C941" s="16" t="str">
        <f>"V6129542168001"</f>
        <v>V6129542168001</v>
      </c>
      <c r="D941" s="16" t="s">
        <v>4844</v>
      </c>
      <c r="E941" s="16" t="s">
        <v>4810</v>
      </c>
      <c r="F941" s="21">
        <v>9781260454208</v>
      </c>
      <c r="G941" s="16" t="s">
        <v>1645</v>
      </c>
      <c r="H941" s="16" t="s">
        <v>13</v>
      </c>
      <c r="I941" s="16">
        <v>2020</v>
      </c>
      <c r="J941" s="16" t="s">
        <v>4845</v>
      </c>
      <c r="K941" s="16" t="s">
        <v>48</v>
      </c>
      <c r="L941" s="16" t="s">
        <v>15</v>
      </c>
      <c r="M941" s="16" t="s">
        <v>4846</v>
      </c>
      <c r="N941" s="16"/>
      <c r="O941" s="16"/>
    </row>
    <row r="942" spans="1:15" x14ac:dyDescent="0.3">
      <c r="A942" s="16">
        <v>941</v>
      </c>
      <c r="B942" s="16" t="s">
        <v>1641</v>
      </c>
      <c r="C942" s="16" t="str">
        <f>"V6129542169001"</f>
        <v>V6129542169001</v>
      </c>
      <c r="D942" s="16" t="s">
        <v>4847</v>
      </c>
      <c r="E942" s="16" t="s">
        <v>4810</v>
      </c>
      <c r="F942" s="21">
        <v>9781260454208</v>
      </c>
      <c r="G942" s="16" t="s">
        <v>1645</v>
      </c>
      <c r="H942" s="16" t="s">
        <v>13</v>
      </c>
      <c r="I942" s="16">
        <v>2020</v>
      </c>
      <c r="J942" s="16" t="s">
        <v>4848</v>
      </c>
      <c r="K942" s="16" t="s">
        <v>48</v>
      </c>
      <c r="L942" s="16" t="s">
        <v>15</v>
      </c>
      <c r="M942" s="16" t="s">
        <v>4849</v>
      </c>
      <c r="N942" s="16"/>
      <c r="O942" s="16"/>
    </row>
    <row r="943" spans="1:15" x14ac:dyDescent="0.3">
      <c r="A943" s="16">
        <v>942</v>
      </c>
      <c r="B943" s="16" t="s">
        <v>1641</v>
      </c>
      <c r="C943" s="16" t="str">
        <f>"V6129542284001"</f>
        <v>V6129542284001</v>
      </c>
      <c r="D943" s="16" t="s">
        <v>4850</v>
      </c>
      <c r="E943" s="16" t="s">
        <v>4810</v>
      </c>
      <c r="F943" s="21">
        <v>9781260454208</v>
      </c>
      <c r="G943" s="16" t="s">
        <v>1645</v>
      </c>
      <c r="H943" s="16" t="s">
        <v>13</v>
      </c>
      <c r="I943" s="16">
        <v>2020</v>
      </c>
      <c r="J943" s="16" t="s">
        <v>4851</v>
      </c>
      <c r="K943" s="16" t="s">
        <v>48</v>
      </c>
      <c r="L943" s="16" t="s">
        <v>15</v>
      </c>
      <c r="M943" s="16" t="s">
        <v>4852</v>
      </c>
      <c r="N943" s="16"/>
      <c r="O943" s="16"/>
    </row>
    <row r="944" spans="1:15" x14ac:dyDescent="0.3">
      <c r="A944" s="16">
        <v>943</v>
      </c>
      <c r="B944" s="16" t="s">
        <v>1641</v>
      </c>
      <c r="C944" s="16" t="str">
        <f>"V6129542286001"</f>
        <v>V6129542286001</v>
      </c>
      <c r="D944" s="16" t="s">
        <v>4853</v>
      </c>
      <c r="E944" s="16" t="s">
        <v>4810</v>
      </c>
      <c r="F944" s="21">
        <v>9781260454208</v>
      </c>
      <c r="G944" s="16" t="s">
        <v>1645</v>
      </c>
      <c r="H944" s="16" t="s">
        <v>13</v>
      </c>
      <c r="I944" s="16">
        <v>2020</v>
      </c>
      <c r="J944" s="16" t="s">
        <v>4854</v>
      </c>
      <c r="K944" s="16" t="s">
        <v>48</v>
      </c>
      <c r="L944" s="16" t="s">
        <v>15</v>
      </c>
      <c r="M944" s="16" t="s">
        <v>4855</v>
      </c>
      <c r="N944" s="16"/>
      <c r="O944" s="16"/>
    </row>
    <row r="945" spans="1:15" x14ac:dyDescent="0.3">
      <c r="A945" s="16">
        <v>944</v>
      </c>
      <c r="B945" s="16" t="s">
        <v>1641</v>
      </c>
      <c r="C945" s="16" t="str">
        <f>"V6129542301001"</f>
        <v>V6129542301001</v>
      </c>
      <c r="D945" s="16" t="s">
        <v>4856</v>
      </c>
      <c r="E945" s="16" t="s">
        <v>4810</v>
      </c>
      <c r="F945" s="21">
        <v>9781260454208</v>
      </c>
      <c r="G945" s="16" t="s">
        <v>1645</v>
      </c>
      <c r="H945" s="16" t="s">
        <v>13</v>
      </c>
      <c r="I945" s="16">
        <v>2020</v>
      </c>
      <c r="J945" s="16" t="s">
        <v>4857</v>
      </c>
      <c r="K945" s="16" t="s">
        <v>48</v>
      </c>
      <c r="L945" s="16" t="s">
        <v>15</v>
      </c>
      <c r="M945" s="16" t="s">
        <v>4858</v>
      </c>
      <c r="N945" s="16"/>
      <c r="O945" s="16"/>
    </row>
    <row r="946" spans="1:15" x14ac:dyDescent="0.3">
      <c r="A946" s="16">
        <v>945</v>
      </c>
      <c r="B946" s="16" t="s">
        <v>1641</v>
      </c>
      <c r="C946" s="16" t="str">
        <f>"V6129542302001"</f>
        <v>V6129542302001</v>
      </c>
      <c r="D946" s="16" t="s">
        <v>4859</v>
      </c>
      <c r="E946" s="16" t="s">
        <v>4810</v>
      </c>
      <c r="F946" s="21">
        <v>9781260454208</v>
      </c>
      <c r="G946" s="16" t="s">
        <v>1645</v>
      </c>
      <c r="H946" s="16" t="s">
        <v>13</v>
      </c>
      <c r="I946" s="16">
        <v>2020</v>
      </c>
      <c r="J946" s="16" t="s">
        <v>4860</v>
      </c>
      <c r="K946" s="16" t="s">
        <v>48</v>
      </c>
      <c r="L946" s="16" t="s">
        <v>15</v>
      </c>
      <c r="M946" s="16" t="s">
        <v>4861</v>
      </c>
      <c r="N946" s="16"/>
      <c r="O946" s="16"/>
    </row>
    <row r="947" spans="1:15" x14ac:dyDescent="0.3">
      <c r="A947" s="16">
        <v>946</v>
      </c>
      <c r="B947" s="16" t="s">
        <v>1641</v>
      </c>
      <c r="C947" s="16" t="str">
        <f>"V6129543291001"</f>
        <v>V6129543291001</v>
      </c>
      <c r="D947" s="16" t="s">
        <v>4862</v>
      </c>
      <c r="E947" s="16" t="s">
        <v>4810</v>
      </c>
      <c r="F947" s="21">
        <v>9781260454208</v>
      </c>
      <c r="G947" s="16" t="s">
        <v>1645</v>
      </c>
      <c r="H947" s="16" t="s">
        <v>13</v>
      </c>
      <c r="I947" s="16">
        <v>2020</v>
      </c>
      <c r="J947" s="16" t="s">
        <v>4863</v>
      </c>
      <c r="K947" s="16" t="s">
        <v>48</v>
      </c>
      <c r="L947" s="16" t="s">
        <v>15</v>
      </c>
      <c r="M947" s="16" t="s">
        <v>4864</v>
      </c>
      <c r="N947" s="16"/>
      <c r="O947" s="16"/>
    </row>
    <row r="948" spans="1:15" x14ac:dyDescent="0.3">
      <c r="A948" s="16">
        <v>947</v>
      </c>
      <c r="B948" s="16" t="s">
        <v>1641</v>
      </c>
      <c r="C948" s="16" t="str">
        <f>"V6129543959001"</f>
        <v>V6129543959001</v>
      </c>
      <c r="D948" s="16" t="s">
        <v>4865</v>
      </c>
      <c r="E948" s="16" t="s">
        <v>4810</v>
      </c>
      <c r="F948" s="21">
        <v>9781260454208</v>
      </c>
      <c r="G948" s="16" t="s">
        <v>1645</v>
      </c>
      <c r="H948" s="16" t="s">
        <v>13</v>
      </c>
      <c r="I948" s="16">
        <v>2020</v>
      </c>
      <c r="J948" s="16" t="s">
        <v>4866</v>
      </c>
      <c r="K948" s="16" t="s">
        <v>48</v>
      </c>
      <c r="L948" s="16" t="s">
        <v>15</v>
      </c>
      <c r="M948" s="16" t="s">
        <v>4867</v>
      </c>
      <c r="N948" s="16"/>
      <c r="O948" s="16"/>
    </row>
    <row r="949" spans="1:15" x14ac:dyDescent="0.3">
      <c r="A949" s="16">
        <v>948</v>
      </c>
      <c r="B949" s="16" t="s">
        <v>1641</v>
      </c>
      <c r="C949" s="16" t="str">
        <f>"V6129543970001"</f>
        <v>V6129543970001</v>
      </c>
      <c r="D949" s="16" t="s">
        <v>4868</v>
      </c>
      <c r="E949" s="16" t="s">
        <v>4810</v>
      </c>
      <c r="F949" s="21">
        <v>9781260454208</v>
      </c>
      <c r="G949" s="16" t="s">
        <v>1645</v>
      </c>
      <c r="H949" s="16" t="s">
        <v>13</v>
      </c>
      <c r="I949" s="16">
        <v>2020</v>
      </c>
      <c r="J949" s="16" t="s">
        <v>4842</v>
      </c>
      <c r="K949" s="16" t="s">
        <v>48</v>
      </c>
      <c r="L949" s="16" t="s">
        <v>15</v>
      </c>
      <c r="M949" s="16" t="s">
        <v>4869</v>
      </c>
      <c r="N949" s="16"/>
      <c r="O949" s="16"/>
    </row>
    <row r="950" spans="1:15" x14ac:dyDescent="0.3">
      <c r="A950" s="16">
        <v>949</v>
      </c>
      <c r="B950" s="16" t="s">
        <v>1641</v>
      </c>
      <c r="C950" s="16" t="str">
        <f>"V6129543975001"</f>
        <v>V6129543975001</v>
      </c>
      <c r="D950" s="16" t="s">
        <v>4870</v>
      </c>
      <c r="E950" s="16" t="s">
        <v>4810</v>
      </c>
      <c r="F950" s="21">
        <v>9781260454208</v>
      </c>
      <c r="G950" s="16" t="s">
        <v>1645</v>
      </c>
      <c r="H950" s="16" t="s">
        <v>13</v>
      </c>
      <c r="I950" s="16">
        <v>2020</v>
      </c>
      <c r="J950" s="16" t="s">
        <v>4871</v>
      </c>
      <c r="K950" s="16" t="s">
        <v>48</v>
      </c>
      <c r="L950" s="16" t="s">
        <v>15</v>
      </c>
      <c r="M950" s="16" t="s">
        <v>4872</v>
      </c>
      <c r="N950" s="16"/>
      <c r="O950" s="16"/>
    </row>
    <row r="951" spans="1:15" x14ac:dyDescent="0.3">
      <c r="A951" s="16">
        <v>950</v>
      </c>
      <c r="B951" s="16" t="s">
        <v>1641</v>
      </c>
      <c r="C951" s="16" t="str">
        <f>"V6129543977001"</f>
        <v>V6129543977001</v>
      </c>
      <c r="D951" s="16" t="s">
        <v>4873</v>
      </c>
      <c r="E951" s="16" t="s">
        <v>4810</v>
      </c>
      <c r="F951" s="21">
        <v>9781260454208</v>
      </c>
      <c r="G951" s="16" t="s">
        <v>1645</v>
      </c>
      <c r="H951" s="16" t="s">
        <v>13</v>
      </c>
      <c r="I951" s="16">
        <v>2020</v>
      </c>
      <c r="J951" s="16" t="s">
        <v>4874</v>
      </c>
      <c r="K951" s="16" t="s">
        <v>48</v>
      </c>
      <c r="L951" s="16" t="s">
        <v>15</v>
      </c>
      <c r="M951" s="16" t="s">
        <v>4875</v>
      </c>
      <c r="N951" s="16"/>
      <c r="O951" s="16"/>
    </row>
    <row r="952" spans="1:15" x14ac:dyDescent="0.3">
      <c r="A952" s="16">
        <v>951</v>
      </c>
      <c r="B952" s="16" t="s">
        <v>1641</v>
      </c>
      <c r="C952" s="16" t="str">
        <f>"V6129543983001"</f>
        <v>V6129543983001</v>
      </c>
      <c r="D952" s="16" t="s">
        <v>4876</v>
      </c>
      <c r="E952" s="16" t="s">
        <v>4810</v>
      </c>
      <c r="F952" s="21">
        <v>9781260454208</v>
      </c>
      <c r="G952" s="16" t="s">
        <v>1645</v>
      </c>
      <c r="H952" s="16" t="s">
        <v>13</v>
      </c>
      <c r="I952" s="16">
        <v>2020</v>
      </c>
      <c r="J952" s="16" t="s">
        <v>4863</v>
      </c>
      <c r="K952" s="16" t="s">
        <v>48</v>
      </c>
      <c r="L952" s="16" t="s">
        <v>15</v>
      </c>
      <c r="M952" s="16" t="s">
        <v>4877</v>
      </c>
      <c r="N952" s="16"/>
      <c r="O952" s="16"/>
    </row>
    <row r="953" spans="1:15" x14ac:dyDescent="0.3">
      <c r="A953" s="16">
        <v>952</v>
      </c>
      <c r="B953" s="16" t="s">
        <v>1641</v>
      </c>
      <c r="C953" s="16" t="str">
        <f>"V6129543984001"</f>
        <v>V6129543984001</v>
      </c>
      <c r="D953" s="16" t="s">
        <v>4878</v>
      </c>
      <c r="E953" s="16" t="s">
        <v>4810</v>
      </c>
      <c r="F953" s="21">
        <v>9781260454208</v>
      </c>
      <c r="G953" s="16" t="s">
        <v>1645</v>
      </c>
      <c r="H953" s="16" t="s">
        <v>13</v>
      </c>
      <c r="I953" s="16">
        <v>2020</v>
      </c>
      <c r="J953" s="16" t="s">
        <v>4879</v>
      </c>
      <c r="K953" s="16" t="s">
        <v>48</v>
      </c>
      <c r="L953" s="16" t="s">
        <v>15</v>
      </c>
      <c r="M953" s="16" t="s">
        <v>4880</v>
      </c>
      <c r="N953" s="16"/>
      <c r="O953" s="16"/>
    </row>
    <row r="954" spans="1:15" x14ac:dyDescent="0.3">
      <c r="A954" s="16">
        <v>953</v>
      </c>
      <c r="B954" s="16" t="s">
        <v>1641</v>
      </c>
      <c r="C954" s="16" t="str">
        <f>"V6129544262001"</f>
        <v>V6129544262001</v>
      </c>
      <c r="D954" s="16" t="s">
        <v>4881</v>
      </c>
      <c r="E954" s="16" t="s">
        <v>4810</v>
      </c>
      <c r="F954" s="21">
        <v>9781260454208</v>
      </c>
      <c r="G954" s="16" t="s">
        <v>1645</v>
      </c>
      <c r="H954" s="16" t="s">
        <v>13</v>
      </c>
      <c r="I954" s="16">
        <v>2020</v>
      </c>
      <c r="J954" s="16" t="s">
        <v>4851</v>
      </c>
      <c r="K954" s="16" t="s">
        <v>48</v>
      </c>
      <c r="L954" s="16" t="s">
        <v>15</v>
      </c>
      <c r="M954" s="16" t="s">
        <v>4882</v>
      </c>
      <c r="N954" s="16"/>
      <c r="O954" s="16"/>
    </row>
    <row r="955" spans="1:15" x14ac:dyDescent="0.3">
      <c r="A955" s="16">
        <v>954</v>
      </c>
      <c r="B955" s="16" t="s">
        <v>1641</v>
      </c>
      <c r="C955" s="16" t="str">
        <f>"V6129544271001"</f>
        <v>V6129544271001</v>
      </c>
      <c r="D955" s="16" t="s">
        <v>4883</v>
      </c>
      <c r="E955" s="16" t="s">
        <v>4810</v>
      </c>
      <c r="F955" s="21">
        <v>9781260454208</v>
      </c>
      <c r="G955" s="16" t="s">
        <v>1645</v>
      </c>
      <c r="H955" s="16" t="s">
        <v>13</v>
      </c>
      <c r="I955" s="16">
        <v>2020</v>
      </c>
      <c r="J955" s="16" t="s">
        <v>4884</v>
      </c>
      <c r="K955" s="16" t="s">
        <v>48</v>
      </c>
      <c r="L955" s="16" t="s">
        <v>15</v>
      </c>
      <c r="M955" s="16" t="s">
        <v>4885</v>
      </c>
      <c r="N955" s="16"/>
      <c r="O955" s="16"/>
    </row>
    <row r="956" spans="1:15" x14ac:dyDescent="0.3">
      <c r="A956" s="16">
        <v>955</v>
      </c>
      <c r="B956" s="16" t="s">
        <v>1641</v>
      </c>
      <c r="C956" s="16" t="str">
        <f>"V6129544275001"</f>
        <v>V6129544275001</v>
      </c>
      <c r="D956" s="16" t="s">
        <v>4886</v>
      </c>
      <c r="E956" s="16" t="s">
        <v>4810</v>
      </c>
      <c r="F956" s="21">
        <v>9781260454208</v>
      </c>
      <c r="G956" s="16" t="s">
        <v>1645</v>
      </c>
      <c r="H956" s="16" t="s">
        <v>13</v>
      </c>
      <c r="I956" s="16">
        <v>2020</v>
      </c>
      <c r="J956" s="16" t="s">
        <v>4887</v>
      </c>
      <c r="K956" s="16" t="s">
        <v>1647</v>
      </c>
      <c r="L956" s="16" t="s">
        <v>15</v>
      </c>
      <c r="M956" s="16" t="s">
        <v>4888</v>
      </c>
      <c r="N956" s="16"/>
      <c r="O956" s="16"/>
    </row>
    <row r="957" spans="1:15" x14ac:dyDescent="0.3">
      <c r="A957" s="16">
        <v>956</v>
      </c>
      <c r="B957" s="16" t="s">
        <v>1641</v>
      </c>
      <c r="C957" s="16" t="str">
        <f>"V6129544278001"</f>
        <v>V6129544278001</v>
      </c>
      <c r="D957" s="16" t="s">
        <v>4889</v>
      </c>
      <c r="E957" s="16" t="s">
        <v>4810</v>
      </c>
      <c r="F957" s="21">
        <v>9781260454208</v>
      </c>
      <c r="G957" s="16" t="s">
        <v>1645</v>
      </c>
      <c r="H957" s="16" t="s">
        <v>13</v>
      </c>
      <c r="I957" s="16">
        <v>2020</v>
      </c>
      <c r="J957" s="16" t="s">
        <v>4890</v>
      </c>
      <c r="K957" s="16" t="s">
        <v>48</v>
      </c>
      <c r="L957" s="16" t="s">
        <v>15</v>
      </c>
      <c r="M957" s="16" t="s">
        <v>4891</v>
      </c>
      <c r="N957" s="16"/>
      <c r="O957" s="16"/>
    </row>
    <row r="958" spans="1:15" x14ac:dyDescent="0.3">
      <c r="A958" s="16">
        <v>957</v>
      </c>
      <c r="B958" s="16" t="s">
        <v>1641</v>
      </c>
      <c r="C958" s="16" t="str">
        <f>"V6129544279001"</f>
        <v>V6129544279001</v>
      </c>
      <c r="D958" s="16" t="s">
        <v>4892</v>
      </c>
      <c r="E958" s="16" t="s">
        <v>4810</v>
      </c>
      <c r="F958" s="21">
        <v>9781260454208</v>
      </c>
      <c r="G958" s="16" t="s">
        <v>1645</v>
      </c>
      <c r="H958" s="16" t="s">
        <v>13</v>
      </c>
      <c r="I958" s="16">
        <v>2020</v>
      </c>
      <c r="J958" s="16" t="s">
        <v>4893</v>
      </c>
      <c r="K958" s="16" t="s">
        <v>48</v>
      </c>
      <c r="L958" s="16" t="s">
        <v>15</v>
      </c>
      <c r="M958" s="16" t="s">
        <v>4894</v>
      </c>
      <c r="N958" s="16"/>
      <c r="O958" s="16"/>
    </row>
    <row r="959" spans="1:15" x14ac:dyDescent="0.3">
      <c r="A959" s="16">
        <v>958</v>
      </c>
      <c r="B959" s="16" t="s">
        <v>1641</v>
      </c>
      <c r="C959" s="16" t="str">
        <f>"V6166712100001"</f>
        <v>V6166712100001</v>
      </c>
      <c r="D959" s="16" t="s">
        <v>4895</v>
      </c>
      <c r="E959" s="16" t="s">
        <v>4896</v>
      </c>
      <c r="F959" s="21">
        <v>9781260453812</v>
      </c>
      <c r="G959" s="16" t="s">
        <v>1645</v>
      </c>
      <c r="H959" s="16" t="s">
        <v>13</v>
      </c>
      <c r="I959" s="16">
        <v>2020</v>
      </c>
      <c r="J959" s="16" t="s">
        <v>4897</v>
      </c>
      <c r="K959" s="16" t="s">
        <v>2147</v>
      </c>
      <c r="L959" s="16" t="s">
        <v>15</v>
      </c>
      <c r="M959" s="16" t="s">
        <v>4898</v>
      </c>
      <c r="N959" s="16"/>
      <c r="O959" s="16"/>
    </row>
    <row r="960" spans="1:15" x14ac:dyDescent="0.3">
      <c r="A960" s="16">
        <v>959</v>
      </c>
      <c r="B960" s="16" t="s">
        <v>1641</v>
      </c>
      <c r="C960" s="16" t="str">
        <f>"V6166712101001"</f>
        <v>V6166712101001</v>
      </c>
      <c r="D960" s="16" t="s">
        <v>4899</v>
      </c>
      <c r="E960" s="16" t="s">
        <v>4896</v>
      </c>
      <c r="F960" s="21">
        <v>9781260453812</v>
      </c>
      <c r="G960" s="16" t="s">
        <v>1645</v>
      </c>
      <c r="H960" s="16" t="s">
        <v>13</v>
      </c>
      <c r="I960" s="16">
        <v>2020</v>
      </c>
      <c r="J960" s="16" t="s">
        <v>4900</v>
      </c>
      <c r="K960" s="16" t="s">
        <v>712</v>
      </c>
      <c r="L960" s="16" t="s">
        <v>15</v>
      </c>
      <c r="M960" s="16" t="s">
        <v>4901</v>
      </c>
      <c r="N960" s="16"/>
      <c r="O960" s="16"/>
    </row>
    <row r="961" spans="1:15" x14ac:dyDescent="0.3">
      <c r="A961" s="16">
        <v>960</v>
      </c>
      <c r="B961" s="16" t="s">
        <v>1641</v>
      </c>
      <c r="C961" s="16" t="str">
        <f>"V6166712102001"</f>
        <v>V6166712102001</v>
      </c>
      <c r="D961" s="16" t="s">
        <v>4902</v>
      </c>
      <c r="E961" s="16" t="s">
        <v>4896</v>
      </c>
      <c r="F961" s="21">
        <v>9781260453812</v>
      </c>
      <c r="G961" s="16" t="s">
        <v>1645</v>
      </c>
      <c r="H961" s="16" t="s">
        <v>13</v>
      </c>
      <c r="I961" s="16">
        <v>2020</v>
      </c>
      <c r="J961" s="16" t="s">
        <v>4903</v>
      </c>
      <c r="K961" s="16" t="s">
        <v>4904</v>
      </c>
      <c r="L961" s="16" t="s">
        <v>15</v>
      </c>
      <c r="M961" s="16" t="s">
        <v>4905</v>
      </c>
      <c r="N961" s="16"/>
      <c r="O961" s="16"/>
    </row>
    <row r="962" spans="1:15" x14ac:dyDescent="0.3">
      <c r="A962" s="16">
        <v>961</v>
      </c>
      <c r="B962" s="16" t="s">
        <v>1641</v>
      </c>
      <c r="C962" s="16" t="str">
        <f>"V6166712103001"</f>
        <v>V6166712103001</v>
      </c>
      <c r="D962" s="16" t="s">
        <v>4906</v>
      </c>
      <c r="E962" s="16" t="s">
        <v>4896</v>
      </c>
      <c r="F962" s="21">
        <v>9781260453812</v>
      </c>
      <c r="G962" s="16" t="s">
        <v>1645</v>
      </c>
      <c r="H962" s="16" t="s">
        <v>13</v>
      </c>
      <c r="I962" s="16">
        <v>2020</v>
      </c>
      <c r="J962" s="16" t="s">
        <v>4907</v>
      </c>
      <c r="K962" s="16" t="s">
        <v>4908</v>
      </c>
      <c r="L962" s="16" t="s">
        <v>15</v>
      </c>
      <c r="M962" s="16" t="s">
        <v>4909</v>
      </c>
      <c r="N962" s="16"/>
      <c r="O962" s="16"/>
    </row>
    <row r="963" spans="1:15" x14ac:dyDescent="0.3">
      <c r="A963" s="16">
        <v>962</v>
      </c>
      <c r="B963" s="16" t="s">
        <v>1641</v>
      </c>
      <c r="C963" s="16" t="str">
        <f>"V6166712104001"</f>
        <v>V6166712104001</v>
      </c>
      <c r="D963" s="16" t="s">
        <v>4910</v>
      </c>
      <c r="E963" s="16" t="s">
        <v>4896</v>
      </c>
      <c r="F963" s="21">
        <v>9781260453812</v>
      </c>
      <c r="G963" s="16" t="s">
        <v>1645</v>
      </c>
      <c r="H963" s="16" t="s">
        <v>13</v>
      </c>
      <c r="I963" s="16">
        <v>2020</v>
      </c>
      <c r="J963" s="16" t="s">
        <v>4911</v>
      </c>
      <c r="K963" s="16" t="s">
        <v>712</v>
      </c>
      <c r="L963" s="16" t="s">
        <v>15</v>
      </c>
      <c r="M963" s="16" t="s">
        <v>4912</v>
      </c>
      <c r="N963" s="16"/>
      <c r="O963" s="16"/>
    </row>
    <row r="964" spans="1:15" x14ac:dyDescent="0.3">
      <c r="A964" s="16">
        <v>963</v>
      </c>
      <c r="B964" s="16" t="s">
        <v>1641</v>
      </c>
      <c r="C964" s="16" t="str">
        <f>"V6166712105001"</f>
        <v>V6166712105001</v>
      </c>
      <c r="D964" s="16" t="s">
        <v>4913</v>
      </c>
      <c r="E964" s="16" t="s">
        <v>4896</v>
      </c>
      <c r="F964" s="21">
        <v>9781260453812</v>
      </c>
      <c r="G964" s="16" t="s">
        <v>1645</v>
      </c>
      <c r="H964" s="16" t="s">
        <v>13</v>
      </c>
      <c r="I964" s="16">
        <v>2020</v>
      </c>
      <c r="J964" s="16" t="s">
        <v>4914</v>
      </c>
      <c r="K964" s="16" t="s">
        <v>712</v>
      </c>
      <c r="L964" s="16" t="s">
        <v>15</v>
      </c>
      <c r="M964" s="16" t="s">
        <v>4915</v>
      </c>
      <c r="N964" s="16"/>
      <c r="O964" s="16"/>
    </row>
    <row r="965" spans="1:15" x14ac:dyDescent="0.3">
      <c r="A965" s="16">
        <v>964</v>
      </c>
      <c r="B965" s="16" t="s">
        <v>1641</v>
      </c>
      <c r="C965" s="16" t="str">
        <f>"V6166712199001"</f>
        <v>V6166712199001</v>
      </c>
      <c r="D965" s="16" t="s">
        <v>4916</v>
      </c>
      <c r="E965" s="16" t="s">
        <v>4896</v>
      </c>
      <c r="F965" s="21">
        <v>9781260453812</v>
      </c>
      <c r="G965" s="16" t="s">
        <v>1645</v>
      </c>
      <c r="H965" s="16" t="s">
        <v>13</v>
      </c>
      <c r="I965" s="16">
        <v>2020</v>
      </c>
      <c r="J965" s="16" t="s">
        <v>4917</v>
      </c>
      <c r="K965" s="16" t="s">
        <v>4918</v>
      </c>
      <c r="L965" s="16" t="s">
        <v>15</v>
      </c>
      <c r="M965" s="16" t="s">
        <v>4919</v>
      </c>
      <c r="N965" s="16"/>
      <c r="O965" s="16"/>
    </row>
    <row r="966" spans="1:15" x14ac:dyDescent="0.3">
      <c r="A966" s="16">
        <v>965</v>
      </c>
      <c r="B966" s="16" t="s">
        <v>1641</v>
      </c>
      <c r="C966" s="16" t="str">
        <f>"V6166712200001"</f>
        <v>V6166712200001</v>
      </c>
      <c r="D966" s="16" t="s">
        <v>4920</v>
      </c>
      <c r="E966" s="16" t="s">
        <v>4896</v>
      </c>
      <c r="F966" s="21">
        <v>9781260453812</v>
      </c>
      <c r="G966" s="16" t="s">
        <v>1645</v>
      </c>
      <c r="H966" s="16" t="s">
        <v>13</v>
      </c>
      <c r="I966" s="16">
        <v>2020</v>
      </c>
      <c r="J966" s="16" t="s">
        <v>4921</v>
      </c>
      <c r="K966" s="16" t="s">
        <v>2103</v>
      </c>
      <c r="L966" s="16" t="s">
        <v>15</v>
      </c>
      <c r="M966" s="16" t="s">
        <v>4922</v>
      </c>
      <c r="N966" s="16"/>
      <c r="O966" s="16"/>
    </row>
    <row r="967" spans="1:15" x14ac:dyDescent="0.3">
      <c r="A967" s="16">
        <v>966</v>
      </c>
      <c r="B967" s="16" t="s">
        <v>1641</v>
      </c>
      <c r="C967" s="16" t="str">
        <f>"V6166712201001"</f>
        <v>V6166712201001</v>
      </c>
      <c r="D967" s="16" t="s">
        <v>4923</v>
      </c>
      <c r="E967" s="16" t="s">
        <v>4896</v>
      </c>
      <c r="F967" s="21">
        <v>9781260453812</v>
      </c>
      <c r="G967" s="16" t="s">
        <v>1645</v>
      </c>
      <c r="H967" s="16" t="s">
        <v>13</v>
      </c>
      <c r="I967" s="16">
        <v>2020</v>
      </c>
      <c r="J967" s="16" t="s">
        <v>4924</v>
      </c>
      <c r="K967" s="16" t="s">
        <v>4918</v>
      </c>
      <c r="L967" s="16" t="s">
        <v>15</v>
      </c>
      <c r="M967" s="16" t="s">
        <v>4925</v>
      </c>
      <c r="N967" s="16"/>
      <c r="O967" s="16"/>
    </row>
    <row r="968" spans="1:15" x14ac:dyDescent="0.3">
      <c r="A968" s="16">
        <v>967</v>
      </c>
      <c r="B968" s="16" t="s">
        <v>1641</v>
      </c>
      <c r="C968" s="16" t="str">
        <f>"V6166712202001"</f>
        <v>V6166712202001</v>
      </c>
      <c r="D968" s="16" t="s">
        <v>4926</v>
      </c>
      <c r="E968" s="16" t="s">
        <v>4896</v>
      </c>
      <c r="F968" s="21">
        <v>9781260453812</v>
      </c>
      <c r="G968" s="16" t="s">
        <v>1645</v>
      </c>
      <c r="H968" s="16" t="s">
        <v>13</v>
      </c>
      <c r="I968" s="16">
        <v>2020</v>
      </c>
      <c r="J968" s="16" t="s">
        <v>4927</v>
      </c>
      <c r="K968" s="16" t="s">
        <v>712</v>
      </c>
      <c r="L968" s="16" t="s">
        <v>15</v>
      </c>
      <c r="M968" s="16" t="s">
        <v>4928</v>
      </c>
      <c r="N968" s="16"/>
      <c r="O968" s="16"/>
    </row>
    <row r="969" spans="1:15" x14ac:dyDescent="0.3">
      <c r="A969" s="16">
        <v>968</v>
      </c>
      <c r="B969" s="16" t="s">
        <v>1641</v>
      </c>
      <c r="C969" s="16" t="str">
        <f>"V6166713987001"</f>
        <v>V6166713987001</v>
      </c>
      <c r="D969" s="16" t="s">
        <v>4929</v>
      </c>
      <c r="E969" s="16" t="s">
        <v>4896</v>
      </c>
      <c r="F969" s="21">
        <v>9781260453812</v>
      </c>
      <c r="G969" s="16" t="s">
        <v>1645</v>
      </c>
      <c r="H969" s="16" t="s">
        <v>13</v>
      </c>
      <c r="I969" s="16">
        <v>2020</v>
      </c>
      <c r="J969" s="16" t="s">
        <v>4930</v>
      </c>
      <c r="K969" s="16" t="s">
        <v>4918</v>
      </c>
      <c r="L969" s="16" t="s">
        <v>15</v>
      </c>
      <c r="M969" s="16" t="s">
        <v>4931</v>
      </c>
      <c r="N969" s="16"/>
      <c r="O969" s="16"/>
    </row>
    <row r="970" spans="1:15" x14ac:dyDescent="0.3">
      <c r="A970" s="16">
        <v>969</v>
      </c>
      <c r="B970" s="16" t="s">
        <v>1641</v>
      </c>
      <c r="C970" s="16" t="str">
        <f>"V6166713988001"</f>
        <v>V6166713988001</v>
      </c>
      <c r="D970" s="16" t="s">
        <v>4932</v>
      </c>
      <c r="E970" s="16" t="s">
        <v>4896</v>
      </c>
      <c r="F970" s="21">
        <v>9781260453812</v>
      </c>
      <c r="G970" s="16" t="s">
        <v>1645</v>
      </c>
      <c r="H970" s="16" t="s">
        <v>13</v>
      </c>
      <c r="I970" s="16">
        <v>2020</v>
      </c>
      <c r="J970" s="16" t="s">
        <v>4933</v>
      </c>
      <c r="K970" s="16" t="s">
        <v>712</v>
      </c>
      <c r="L970" s="16" t="s">
        <v>15</v>
      </c>
      <c r="M970" s="16" t="s">
        <v>4934</v>
      </c>
      <c r="N970" s="16"/>
      <c r="O970" s="16"/>
    </row>
    <row r="971" spans="1:15" x14ac:dyDescent="0.3">
      <c r="A971" s="16">
        <v>970</v>
      </c>
      <c r="B971" s="16" t="s">
        <v>1641</v>
      </c>
      <c r="C971" s="16" t="str">
        <f>"V6166713991001"</f>
        <v>V6166713991001</v>
      </c>
      <c r="D971" s="16" t="s">
        <v>4935</v>
      </c>
      <c r="E971" s="16" t="s">
        <v>4896</v>
      </c>
      <c r="F971" s="21">
        <v>9781260453812</v>
      </c>
      <c r="G971" s="16" t="s">
        <v>1645</v>
      </c>
      <c r="H971" s="16" t="s">
        <v>13</v>
      </c>
      <c r="I971" s="16">
        <v>2020</v>
      </c>
      <c r="J971" s="16" t="s">
        <v>4936</v>
      </c>
      <c r="K971" s="16" t="s">
        <v>712</v>
      </c>
      <c r="L971" s="16" t="s">
        <v>15</v>
      </c>
      <c r="M971" s="16" t="s">
        <v>4937</v>
      </c>
      <c r="N971" s="16"/>
      <c r="O971" s="16"/>
    </row>
    <row r="972" spans="1:15" x14ac:dyDescent="0.3">
      <c r="A972" s="16">
        <v>971</v>
      </c>
      <c r="B972" s="16" t="s">
        <v>1641</v>
      </c>
      <c r="C972" s="16" t="str">
        <f>"V6166713992001"</f>
        <v>V6166713992001</v>
      </c>
      <c r="D972" s="16" t="s">
        <v>4938</v>
      </c>
      <c r="E972" s="16" t="s">
        <v>4896</v>
      </c>
      <c r="F972" s="21">
        <v>9781260453812</v>
      </c>
      <c r="G972" s="16" t="s">
        <v>1645</v>
      </c>
      <c r="H972" s="16" t="s">
        <v>13</v>
      </c>
      <c r="I972" s="16">
        <v>2020</v>
      </c>
      <c r="J972" s="16" t="s">
        <v>4939</v>
      </c>
      <c r="K972" s="16" t="s">
        <v>712</v>
      </c>
      <c r="L972" s="16" t="s">
        <v>15</v>
      </c>
      <c r="M972" s="16" t="s">
        <v>4940</v>
      </c>
      <c r="N972" s="16"/>
      <c r="O972" s="16"/>
    </row>
    <row r="973" spans="1:15" x14ac:dyDescent="0.3">
      <c r="A973" s="16">
        <v>972</v>
      </c>
      <c r="B973" s="16" t="s">
        <v>1641</v>
      </c>
      <c r="C973" s="16" t="str">
        <f>"V6166713993001"</f>
        <v>V6166713993001</v>
      </c>
      <c r="D973" s="16" t="s">
        <v>4941</v>
      </c>
      <c r="E973" s="16" t="s">
        <v>4896</v>
      </c>
      <c r="F973" s="21">
        <v>9781260453812</v>
      </c>
      <c r="G973" s="16" t="s">
        <v>1645</v>
      </c>
      <c r="H973" s="16" t="s">
        <v>13</v>
      </c>
      <c r="I973" s="16">
        <v>2020</v>
      </c>
      <c r="J973" s="16" t="s">
        <v>4942</v>
      </c>
      <c r="K973" s="16" t="s">
        <v>712</v>
      </c>
      <c r="L973" s="16" t="s">
        <v>15</v>
      </c>
      <c r="M973" s="16" t="s">
        <v>4943</v>
      </c>
      <c r="N973" s="16"/>
      <c r="O973" s="16"/>
    </row>
    <row r="974" spans="1:15" x14ac:dyDescent="0.3">
      <c r="A974" s="16">
        <v>973</v>
      </c>
      <c r="B974" s="16" t="s">
        <v>1641</v>
      </c>
      <c r="C974" s="16" t="str">
        <f>"V6166714084001"</f>
        <v>V6166714084001</v>
      </c>
      <c r="D974" s="16" t="s">
        <v>4944</v>
      </c>
      <c r="E974" s="16" t="s">
        <v>4896</v>
      </c>
      <c r="F974" s="21">
        <v>9781260453812</v>
      </c>
      <c r="G974" s="16" t="s">
        <v>1645</v>
      </c>
      <c r="H974" s="16" t="s">
        <v>13</v>
      </c>
      <c r="I974" s="16">
        <v>2020</v>
      </c>
      <c r="J974" s="16" t="s">
        <v>4945</v>
      </c>
      <c r="K974" s="16" t="s">
        <v>712</v>
      </c>
      <c r="L974" s="16" t="s">
        <v>15</v>
      </c>
      <c r="M974" s="16" t="s">
        <v>4946</v>
      </c>
      <c r="N974" s="16"/>
      <c r="O974" s="16"/>
    </row>
    <row r="975" spans="1:15" x14ac:dyDescent="0.3">
      <c r="A975" s="16">
        <v>974</v>
      </c>
      <c r="B975" s="16" t="s">
        <v>1641</v>
      </c>
      <c r="C975" s="16" t="str">
        <f>"V6166714086001"</f>
        <v>V6166714086001</v>
      </c>
      <c r="D975" s="16" t="s">
        <v>4947</v>
      </c>
      <c r="E975" s="16" t="s">
        <v>4896</v>
      </c>
      <c r="F975" s="21">
        <v>9781260453812</v>
      </c>
      <c r="G975" s="16" t="s">
        <v>1645</v>
      </c>
      <c r="H975" s="16" t="s">
        <v>13</v>
      </c>
      <c r="I975" s="16">
        <v>2020</v>
      </c>
      <c r="J975" s="16" t="s">
        <v>4948</v>
      </c>
      <c r="K975" s="16" t="s">
        <v>712</v>
      </c>
      <c r="L975" s="16" t="s">
        <v>15</v>
      </c>
      <c r="M975" s="16" t="s">
        <v>4949</v>
      </c>
      <c r="N975" s="16"/>
      <c r="O975" s="16"/>
    </row>
    <row r="976" spans="1:15" x14ac:dyDescent="0.3">
      <c r="A976" s="16">
        <v>975</v>
      </c>
      <c r="B976" s="16" t="s">
        <v>1641</v>
      </c>
      <c r="C976" s="16" t="str">
        <f>"V6166714181001"</f>
        <v>V6166714181001</v>
      </c>
      <c r="D976" s="16" t="s">
        <v>4950</v>
      </c>
      <c r="E976" s="16" t="s">
        <v>4896</v>
      </c>
      <c r="F976" s="21">
        <v>9781260453812</v>
      </c>
      <c r="G976" s="16" t="s">
        <v>1645</v>
      </c>
      <c r="H976" s="16" t="s">
        <v>13</v>
      </c>
      <c r="I976" s="16">
        <v>2020</v>
      </c>
      <c r="J976" s="16" t="s">
        <v>4951</v>
      </c>
      <c r="K976" s="16" t="s">
        <v>4952</v>
      </c>
      <c r="L976" s="16" t="s">
        <v>15</v>
      </c>
      <c r="M976" s="16" t="s">
        <v>4953</v>
      </c>
      <c r="N976" s="16"/>
      <c r="O976" s="16"/>
    </row>
    <row r="977" spans="1:15" x14ac:dyDescent="0.3">
      <c r="A977" s="16">
        <v>976</v>
      </c>
      <c r="B977" s="16" t="s">
        <v>1641</v>
      </c>
      <c r="C977" s="16" t="str">
        <f>"V6166714182001"</f>
        <v>V6166714182001</v>
      </c>
      <c r="D977" s="16" t="s">
        <v>4954</v>
      </c>
      <c r="E977" s="16" t="s">
        <v>4896</v>
      </c>
      <c r="F977" s="21">
        <v>9781260453812</v>
      </c>
      <c r="G977" s="16" t="s">
        <v>1645</v>
      </c>
      <c r="H977" s="16" t="s">
        <v>13</v>
      </c>
      <c r="I977" s="16">
        <v>2020</v>
      </c>
      <c r="J977" s="16" t="s">
        <v>4955</v>
      </c>
      <c r="K977" s="16" t="s">
        <v>712</v>
      </c>
      <c r="L977" s="16" t="s">
        <v>15</v>
      </c>
      <c r="M977" s="16" t="s">
        <v>4956</v>
      </c>
      <c r="N977" s="16"/>
      <c r="O977" s="16"/>
    </row>
    <row r="978" spans="1:15" x14ac:dyDescent="0.3">
      <c r="A978" s="16">
        <v>977</v>
      </c>
      <c r="B978" s="16" t="s">
        <v>1641</v>
      </c>
      <c r="C978" s="16" t="str">
        <f>"V6166714184001"</f>
        <v>V6166714184001</v>
      </c>
      <c r="D978" s="16" t="s">
        <v>4957</v>
      </c>
      <c r="E978" s="16" t="s">
        <v>4896</v>
      </c>
      <c r="F978" s="21">
        <v>9781260453812</v>
      </c>
      <c r="G978" s="16" t="s">
        <v>1645</v>
      </c>
      <c r="H978" s="16" t="s">
        <v>13</v>
      </c>
      <c r="I978" s="16">
        <v>2020</v>
      </c>
      <c r="J978" s="16" t="s">
        <v>4958</v>
      </c>
      <c r="K978" s="16" t="s">
        <v>712</v>
      </c>
      <c r="L978" s="16" t="s">
        <v>15</v>
      </c>
      <c r="M978" s="16" t="s">
        <v>4959</v>
      </c>
      <c r="N978" s="16"/>
      <c r="O978" s="16"/>
    </row>
    <row r="979" spans="1:15" x14ac:dyDescent="0.3">
      <c r="A979" s="16">
        <v>978</v>
      </c>
      <c r="B979" s="16" t="s">
        <v>1641</v>
      </c>
      <c r="C979" s="16" t="str">
        <f>"V6166714185001"</f>
        <v>V6166714185001</v>
      </c>
      <c r="D979" s="16" t="s">
        <v>4960</v>
      </c>
      <c r="E979" s="16" t="s">
        <v>4896</v>
      </c>
      <c r="F979" s="21">
        <v>9781260453812</v>
      </c>
      <c r="G979" s="16" t="s">
        <v>1645</v>
      </c>
      <c r="H979" s="16" t="s">
        <v>13</v>
      </c>
      <c r="I979" s="16">
        <v>2020</v>
      </c>
      <c r="J979" s="16" t="s">
        <v>4961</v>
      </c>
      <c r="K979" s="16" t="s">
        <v>712</v>
      </c>
      <c r="L979" s="16" t="s">
        <v>15</v>
      </c>
      <c r="M979" s="16" t="s">
        <v>4962</v>
      </c>
      <c r="N979" s="16"/>
      <c r="O979" s="16"/>
    </row>
    <row r="980" spans="1:15" x14ac:dyDescent="0.3">
      <c r="A980" s="16">
        <v>979</v>
      </c>
      <c r="B980" s="16" t="s">
        <v>1641</v>
      </c>
      <c r="C980" s="16" t="str">
        <f>"V6166714186001"</f>
        <v>V6166714186001</v>
      </c>
      <c r="D980" s="16" t="s">
        <v>4963</v>
      </c>
      <c r="E980" s="16" t="s">
        <v>4896</v>
      </c>
      <c r="F980" s="21">
        <v>9781260453812</v>
      </c>
      <c r="G980" s="16" t="s">
        <v>1645</v>
      </c>
      <c r="H980" s="16" t="s">
        <v>13</v>
      </c>
      <c r="I980" s="16">
        <v>2020</v>
      </c>
      <c r="J980" s="16" t="s">
        <v>4964</v>
      </c>
      <c r="K980" s="16" t="s">
        <v>649</v>
      </c>
      <c r="L980" s="16" t="s">
        <v>15</v>
      </c>
      <c r="M980" s="16" t="s">
        <v>4965</v>
      </c>
      <c r="N980" s="16"/>
      <c r="O980" s="16"/>
    </row>
    <row r="981" spans="1:15" x14ac:dyDescent="0.3">
      <c r="A981" s="16">
        <v>980</v>
      </c>
      <c r="B981" s="16" t="s">
        <v>1641</v>
      </c>
      <c r="C981" s="16" t="str">
        <f>"V6224876677001"</f>
        <v>V6224876677001</v>
      </c>
      <c r="D981" s="16" t="s">
        <v>4966</v>
      </c>
      <c r="E981" s="16" t="s">
        <v>4967</v>
      </c>
      <c r="F981" s="21">
        <v>9781260462883</v>
      </c>
      <c r="G981" s="16" t="s">
        <v>796</v>
      </c>
      <c r="H981" s="16" t="s">
        <v>13</v>
      </c>
      <c r="I981" s="16">
        <v>2021</v>
      </c>
      <c r="J981" s="16" t="s">
        <v>4968</v>
      </c>
      <c r="K981" s="16" t="s">
        <v>4287</v>
      </c>
      <c r="L981" s="16" t="s">
        <v>15</v>
      </c>
      <c r="M981" s="16" t="s">
        <v>4969</v>
      </c>
      <c r="N981" s="16"/>
      <c r="O981" s="16"/>
    </row>
    <row r="982" spans="1:15" x14ac:dyDescent="0.3">
      <c r="A982" s="16">
        <v>981</v>
      </c>
      <c r="B982" s="16" t="s">
        <v>1641</v>
      </c>
      <c r="C982" s="16" t="str">
        <f>"V6224878389001"</f>
        <v>V6224878389001</v>
      </c>
      <c r="D982" s="16" t="s">
        <v>4970</v>
      </c>
      <c r="E982" s="16" t="s">
        <v>4967</v>
      </c>
      <c r="F982" s="21">
        <v>9781260462883</v>
      </c>
      <c r="G982" s="16" t="s">
        <v>796</v>
      </c>
      <c r="H982" s="16" t="s">
        <v>13</v>
      </c>
      <c r="I982" s="16">
        <v>2021</v>
      </c>
      <c r="J982" s="16" t="s">
        <v>4971</v>
      </c>
      <c r="K982" s="16" t="s">
        <v>4126</v>
      </c>
      <c r="L982" s="16" t="s">
        <v>15</v>
      </c>
      <c r="M982" s="16" t="s">
        <v>4972</v>
      </c>
      <c r="N982" s="16"/>
      <c r="O982" s="16"/>
    </row>
    <row r="983" spans="1:15" x14ac:dyDescent="0.3">
      <c r="A983" s="16">
        <v>982</v>
      </c>
      <c r="B983" s="16" t="s">
        <v>1641</v>
      </c>
      <c r="C983" s="16" t="str">
        <f>"V6224878438001"</f>
        <v>V6224878438001</v>
      </c>
      <c r="D983" s="16" t="s">
        <v>4973</v>
      </c>
      <c r="E983" s="16" t="s">
        <v>4967</v>
      </c>
      <c r="F983" s="21">
        <v>9781260462883</v>
      </c>
      <c r="G983" s="16" t="s">
        <v>796</v>
      </c>
      <c r="H983" s="16" t="s">
        <v>13</v>
      </c>
      <c r="I983" s="16">
        <v>2021</v>
      </c>
      <c r="J983" s="16" t="s">
        <v>4974</v>
      </c>
      <c r="K983" s="16" t="s">
        <v>4287</v>
      </c>
      <c r="L983" s="16" t="s">
        <v>15</v>
      </c>
      <c r="M983" s="16" t="s">
        <v>4975</v>
      </c>
      <c r="N983" s="16"/>
      <c r="O983" s="16"/>
    </row>
    <row r="984" spans="1:15" x14ac:dyDescent="0.3">
      <c r="A984" s="16">
        <v>983</v>
      </c>
      <c r="B984" s="16" t="s">
        <v>1641</v>
      </c>
      <c r="C984" s="16" t="str">
        <f>"V6224884687001"</f>
        <v>V6224884687001</v>
      </c>
      <c r="D984" s="16" t="s">
        <v>4976</v>
      </c>
      <c r="E984" s="16" t="s">
        <v>4967</v>
      </c>
      <c r="F984" s="21">
        <v>9781260462883</v>
      </c>
      <c r="G984" s="16" t="s">
        <v>796</v>
      </c>
      <c r="H984" s="16" t="s">
        <v>13</v>
      </c>
      <c r="I984" s="16">
        <v>2021</v>
      </c>
      <c r="J984" s="16" t="s">
        <v>4977</v>
      </c>
      <c r="K984" s="16" t="s">
        <v>4978</v>
      </c>
      <c r="L984" s="16" t="s">
        <v>15</v>
      </c>
      <c r="M984" s="16" t="s">
        <v>4979</v>
      </c>
      <c r="N984" s="16"/>
      <c r="O984" s="16"/>
    </row>
    <row r="985" spans="1:15" x14ac:dyDescent="0.3">
      <c r="A985" s="16">
        <v>984</v>
      </c>
      <c r="B985" s="16" t="s">
        <v>1641</v>
      </c>
      <c r="C985" s="16" t="str">
        <f>"V6224888003001"</f>
        <v>V6224888003001</v>
      </c>
      <c r="D985" s="16" t="s">
        <v>4980</v>
      </c>
      <c r="E985" s="16" t="s">
        <v>4967</v>
      </c>
      <c r="F985" s="21">
        <v>9781260462883</v>
      </c>
      <c r="G985" s="16" t="s">
        <v>796</v>
      </c>
      <c r="H985" s="16" t="s">
        <v>13</v>
      </c>
      <c r="I985" s="16">
        <v>2021</v>
      </c>
      <c r="J985" s="16" t="s">
        <v>4981</v>
      </c>
      <c r="K985" s="16" t="s">
        <v>3764</v>
      </c>
      <c r="L985" s="16" t="s">
        <v>15</v>
      </c>
      <c r="M985" s="16" t="s">
        <v>4982</v>
      </c>
      <c r="N985" s="16"/>
      <c r="O985" s="16"/>
    </row>
    <row r="986" spans="1:15" x14ac:dyDescent="0.3">
      <c r="A986" s="16">
        <v>985</v>
      </c>
      <c r="B986" s="16" t="s">
        <v>1641</v>
      </c>
      <c r="C986" s="16" t="str">
        <f>"V6224888114001"</f>
        <v>V6224888114001</v>
      </c>
      <c r="D986" s="16" t="s">
        <v>4983</v>
      </c>
      <c r="E986" s="16" t="s">
        <v>4967</v>
      </c>
      <c r="F986" s="21">
        <v>9781260462883</v>
      </c>
      <c r="G986" s="16" t="s">
        <v>796</v>
      </c>
      <c r="H986" s="16" t="s">
        <v>13</v>
      </c>
      <c r="I986" s="16">
        <v>2021</v>
      </c>
      <c r="J986" s="16" t="s">
        <v>4984</v>
      </c>
      <c r="K986" s="16" t="s">
        <v>4287</v>
      </c>
      <c r="L986" s="16" t="s">
        <v>15</v>
      </c>
      <c r="M986" s="16" t="s">
        <v>4985</v>
      </c>
      <c r="N986" s="16"/>
      <c r="O986" s="16"/>
    </row>
    <row r="987" spans="1:15" x14ac:dyDescent="0.3">
      <c r="A987" s="16">
        <v>986</v>
      </c>
      <c r="B987" s="16" t="s">
        <v>1641</v>
      </c>
      <c r="C987" s="16" t="str">
        <f>"V6224898164001"</f>
        <v>V6224898164001</v>
      </c>
      <c r="D987" s="16" t="s">
        <v>4986</v>
      </c>
      <c r="E987" s="16" t="s">
        <v>4967</v>
      </c>
      <c r="F987" s="21">
        <v>9781260462883</v>
      </c>
      <c r="G987" s="16" t="s">
        <v>796</v>
      </c>
      <c r="H987" s="16" t="s">
        <v>13</v>
      </c>
      <c r="I987" s="16">
        <v>2021</v>
      </c>
      <c r="J987" s="16" t="s">
        <v>4987</v>
      </c>
      <c r="K987" s="16" t="s">
        <v>1617</v>
      </c>
      <c r="L987" s="16" t="s">
        <v>15</v>
      </c>
      <c r="M987" s="16" t="s">
        <v>4988</v>
      </c>
      <c r="N987" s="16"/>
      <c r="O987" s="16"/>
    </row>
    <row r="988" spans="1:15" x14ac:dyDescent="0.3">
      <c r="A988" s="16">
        <v>987</v>
      </c>
      <c r="B988" s="16" t="s">
        <v>1641</v>
      </c>
      <c r="C988" s="16" t="str">
        <f>"V6224898344001"</f>
        <v>V6224898344001</v>
      </c>
      <c r="D988" s="16" t="s">
        <v>4989</v>
      </c>
      <c r="E988" s="16" t="s">
        <v>4967</v>
      </c>
      <c r="F988" s="21">
        <v>9781260462883</v>
      </c>
      <c r="G988" s="16" t="s">
        <v>796</v>
      </c>
      <c r="H988" s="16" t="s">
        <v>13</v>
      </c>
      <c r="I988" s="16">
        <v>2021</v>
      </c>
      <c r="J988" s="16" t="s">
        <v>4990</v>
      </c>
      <c r="K988" s="16" t="s">
        <v>4126</v>
      </c>
      <c r="L988" s="16" t="s">
        <v>15</v>
      </c>
      <c r="M988" s="16" t="s">
        <v>4991</v>
      </c>
      <c r="N988" s="16"/>
      <c r="O988" s="16"/>
    </row>
    <row r="989" spans="1:15" x14ac:dyDescent="0.3">
      <c r="A989" s="16">
        <v>988</v>
      </c>
      <c r="B989" s="16" t="s">
        <v>1641</v>
      </c>
      <c r="C989" s="16" t="str">
        <f>"V6224901980001"</f>
        <v>V6224901980001</v>
      </c>
      <c r="D989" s="16" t="s">
        <v>4992</v>
      </c>
      <c r="E989" s="16" t="s">
        <v>4967</v>
      </c>
      <c r="F989" s="21">
        <v>9781260462883</v>
      </c>
      <c r="G989" s="16" t="s">
        <v>796</v>
      </c>
      <c r="H989" s="16" t="s">
        <v>13</v>
      </c>
      <c r="I989" s="16">
        <v>2021</v>
      </c>
      <c r="J989" s="16" t="s">
        <v>4993</v>
      </c>
      <c r="K989" s="16" t="s">
        <v>4287</v>
      </c>
      <c r="L989" s="16" t="s">
        <v>15</v>
      </c>
      <c r="M989" s="16" t="s">
        <v>4994</v>
      </c>
      <c r="N989" s="16"/>
      <c r="O989" s="16"/>
    </row>
    <row r="990" spans="1:15" x14ac:dyDescent="0.3">
      <c r="A990" s="16">
        <v>989</v>
      </c>
      <c r="B990" s="16" t="s">
        <v>1641</v>
      </c>
      <c r="C990" s="16" t="str">
        <f>"V6224903830001"</f>
        <v>V6224903830001</v>
      </c>
      <c r="D990" s="16" t="s">
        <v>4995</v>
      </c>
      <c r="E990" s="16" t="s">
        <v>4967</v>
      </c>
      <c r="F990" s="21">
        <v>9781260462883</v>
      </c>
      <c r="G990" s="16" t="s">
        <v>796</v>
      </c>
      <c r="H990" s="16" t="s">
        <v>13</v>
      </c>
      <c r="I990" s="16">
        <v>2021</v>
      </c>
      <c r="J990" s="16" t="s">
        <v>4996</v>
      </c>
      <c r="K990" s="16" t="s">
        <v>1926</v>
      </c>
      <c r="L990" s="16" t="s">
        <v>15</v>
      </c>
      <c r="M990" s="16" t="s">
        <v>4997</v>
      </c>
      <c r="N990" s="16"/>
      <c r="O990" s="16"/>
    </row>
    <row r="991" spans="1:15" x14ac:dyDescent="0.3">
      <c r="A991" s="16">
        <v>990</v>
      </c>
      <c r="B991" s="16" t="s">
        <v>1641</v>
      </c>
      <c r="C991" s="16" t="str">
        <f>"V6224903831001"</f>
        <v>V6224903831001</v>
      </c>
      <c r="D991" s="16" t="s">
        <v>4998</v>
      </c>
      <c r="E991" s="16" t="s">
        <v>4967</v>
      </c>
      <c r="F991" s="21">
        <v>9781260462883</v>
      </c>
      <c r="G991" s="16" t="s">
        <v>796</v>
      </c>
      <c r="H991" s="16" t="s">
        <v>13</v>
      </c>
      <c r="I991" s="16">
        <v>2021</v>
      </c>
      <c r="J991" s="16" t="s">
        <v>4999</v>
      </c>
      <c r="K991" s="16" t="s">
        <v>4287</v>
      </c>
      <c r="L991" s="16" t="s">
        <v>15</v>
      </c>
      <c r="M991" s="16" t="s">
        <v>5000</v>
      </c>
      <c r="N991" s="16"/>
      <c r="O991" s="16"/>
    </row>
    <row r="992" spans="1:15" x14ac:dyDescent="0.3">
      <c r="A992" s="16">
        <v>991</v>
      </c>
      <c r="B992" s="16" t="s">
        <v>1641</v>
      </c>
      <c r="C992" s="16" t="str">
        <f>"V6224924784001"</f>
        <v>V6224924784001</v>
      </c>
      <c r="D992" s="16" t="s">
        <v>5001</v>
      </c>
      <c r="E992" s="16" t="s">
        <v>4967</v>
      </c>
      <c r="F992" s="21">
        <v>9781260462883</v>
      </c>
      <c r="G992" s="16" t="s">
        <v>796</v>
      </c>
      <c r="H992" s="16" t="s">
        <v>13</v>
      </c>
      <c r="I992" s="16">
        <v>2021</v>
      </c>
      <c r="J992" s="16" t="s">
        <v>5002</v>
      </c>
      <c r="K992" s="16" t="s">
        <v>1617</v>
      </c>
      <c r="L992" s="16" t="s">
        <v>15</v>
      </c>
      <c r="M992" s="16" t="s">
        <v>5003</v>
      </c>
      <c r="N992" s="16"/>
      <c r="O992" s="16"/>
    </row>
    <row r="993" spans="1:15" x14ac:dyDescent="0.3">
      <c r="A993" s="16">
        <v>992</v>
      </c>
      <c r="B993" s="16" t="s">
        <v>1641</v>
      </c>
      <c r="C993" s="16" t="str">
        <f>"V6224924881001"</f>
        <v>V6224924881001</v>
      </c>
      <c r="D993" s="16" t="s">
        <v>5004</v>
      </c>
      <c r="E993" s="16" t="s">
        <v>4967</v>
      </c>
      <c r="F993" s="21">
        <v>9781260462883</v>
      </c>
      <c r="G993" s="16" t="s">
        <v>796</v>
      </c>
      <c r="H993" s="16" t="s">
        <v>13</v>
      </c>
      <c r="I993" s="16">
        <v>2021</v>
      </c>
      <c r="J993" s="16" t="s">
        <v>5005</v>
      </c>
      <c r="K993" s="16" t="s">
        <v>4287</v>
      </c>
      <c r="L993" s="16" t="s">
        <v>15</v>
      </c>
      <c r="M993" s="16" t="s">
        <v>5006</v>
      </c>
      <c r="N993" s="16"/>
      <c r="O993" s="16"/>
    </row>
    <row r="994" spans="1:15" x14ac:dyDescent="0.3">
      <c r="A994" s="16">
        <v>993</v>
      </c>
      <c r="B994" s="16" t="s">
        <v>1641</v>
      </c>
      <c r="C994" s="16" t="str">
        <f>"V6224927184001"</f>
        <v>V6224927184001</v>
      </c>
      <c r="D994" s="16" t="s">
        <v>5007</v>
      </c>
      <c r="E994" s="16" t="s">
        <v>4967</v>
      </c>
      <c r="F994" s="21">
        <v>9781260462883</v>
      </c>
      <c r="G994" s="16" t="s">
        <v>796</v>
      </c>
      <c r="H994" s="16" t="s">
        <v>13</v>
      </c>
      <c r="I994" s="16">
        <v>2021</v>
      </c>
      <c r="J994" s="16" t="s">
        <v>5008</v>
      </c>
      <c r="K994" s="16" t="s">
        <v>1617</v>
      </c>
      <c r="L994" s="16" t="s">
        <v>15</v>
      </c>
      <c r="M994" s="16" t="s">
        <v>5009</v>
      </c>
      <c r="N994" s="16"/>
      <c r="O994" s="16"/>
    </row>
    <row r="995" spans="1:15" x14ac:dyDescent="0.3">
      <c r="A995" s="16">
        <v>994</v>
      </c>
      <c r="B995" s="16" t="s">
        <v>1641</v>
      </c>
      <c r="C995" s="16" t="str">
        <f>"V6224927340001"</f>
        <v>V6224927340001</v>
      </c>
      <c r="D995" s="16" t="s">
        <v>5010</v>
      </c>
      <c r="E995" s="16" t="s">
        <v>4967</v>
      </c>
      <c r="F995" s="21">
        <v>9781260462883</v>
      </c>
      <c r="G995" s="16" t="s">
        <v>796</v>
      </c>
      <c r="H995" s="16" t="s">
        <v>13</v>
      </c>
      <c r="I995" s="16">
        <v>2021</v>
      </c>
      <c r="J995" s="16" t="s">
        <v>5011</v>
      </c>
      <c r="K995" s="16" t="s">
        <v>1617</v>
      </c>
      <c r="L995" s="16" t="s">
        <v>15</v>
      </c>
      <c r="M995" s="16" t="s">
        <v>5012</v>
      </c>
      <c r="N995" s="16"/>
      <c r="O995" s="16"/>
    </row>
    <row r="996" spans="1:15" x14ac:dyDescent="0.3">
      <c r="A996" s="16">
        <v>995</v>
      </c>
      <c r="B996" s="16" t="s">
        <v>1641</v>
      </c>
      <c r="C996" s="16" t="str">
        <f>"V6224927341001"</f>
        <v>V6224927341001</v>
      </c>
      <c r="D996" s="16" t="s">
        <v>5013</v>
      </c>
      <c r="E996" s="16" t="s">
        <v>4967</v>
      </c>
      <c r="F996" s="21">
        <v>9781260462883</v>
      </c>
      <c r="G996" s="16" t="s">
        <v>796</v>
      </c>
      <c r="H996" s="16" t="s">
        <v>13</v>
      </c>
      <c r="I996" s="16">
        <v>2021</v>
      </c>
      <c r="J996" s="16" t="s">
        <v>5014</v>
      </c>
      <c r="K996" s="16" t="s">
        <v>5015</v>
      </c>
      <c r="L996" s="16" t="s">
        <v>15</v>
      </c>
      <c r="M996" s="16" t="s">
        <v>5016</v>
      </c>
      <c r="N996" s="16"/>
      <c r="O996" s="16"/>
    </row>
    <row r="997" spans="1:15" x14ac:dyDescent="0.3">
      <c r="A997" s="16">
        <v>996</v>
      </c>
      <c r="B997" s="16" t="s">
        <v>1641</v>
      </c>
      <c r="C997" s="16" t="str">
        <f>"V6224927921001"</f>
        <v>V6224927921001</v>
      </c>
      <c r="D997" s="16" t="s">
        <v>5017</v>
      </c>
      <c r="E997" s="16" t="s">
        <v>4967</v>
      </c>
      <c r="F997" s="21">
        <v>9781260462883</v>
      </c>
      <c r="G997" s="16" t="s">
        <v>796</v>
      </c>
      <c r="H997" s="16" t="s">
        <v>13</v>
      </c>
      <c r="I997" s="16">
        <v>2021</v>
      </c>
      <c r="J997" s="16" t="s">
        <v>5018</v>
      </c>
      <c r="K997" s="16" t="s">
        <v>5019</v>
      </c>
      <c r="L997" s="16" t="s">
        <v>15</v>
      </c>
      <c r="M997" s="16" t="s">
        <v>5020</v>
      </c>
      <c r="N997" s="16"/>
      <c r="O997" s="16"/>
    </row>
    <row r="998" spans="1:15" x14ac:dyDescent="0.3">
      <c r="A998" s="16">
        <v>997</v>
      </c>
      <c r="B998" s="16" t="s">
        <v>1641</v>
      </c>
      <c r="C998" s="16" t="str">
        <f>"V6224928422001"</f>
        <v>V6224928422001</v>
      </c>
      <c r="D998" s="16" t="s">
        <v>5021</v>
      </c>
      <c r="E998" s="16" t="s">
        <v>4967</v>
      </c>
      <c r="F998" s="21">
        <v>9781260462883</v>
      </c>
      <c r="G998" s="16" t="s">
        <v>796</v>
      </c>
      <c r="H998" s="16" t="s">
        <v>13</v>
      </c>
      <c r="I998" s="16">
        <v>2021</v>
      </c>
      <c r="J998" s="16" t="s">
        <v>5022</v>
      </c>
      <c r="K998" s="16" t="s">
        <v>4126</v>
      </c>
      <c r="L998" s="16" t="s">
        <v>15</v>
      </c>
      <c r="M998" s="16" t="s">
        <v>5023</v>
      </c>
      <c r="N998" s="16"/>
      <c r="O998" s="16"/>
    </row>
    <row r="999" spans="1:15" x14ac:dyDescent="0.3">
      <c r="A999" s="16">
        <v>998</v>
      </c>
      <c r="B999" s="16" t="s">
        <v>1641</v>
      </c>
      <c r="C999" s="16" t="str">
        <f>"V6224928522001"</f>
        <v>V6224928522001</v>
      </c>
      <c r="D999" s="16" t="s">
        <v>5024</v>
      </c>
      <c r="E999" s="16" t="s">
        <v>4967</v>
      </c>
      <c r="F999" s="21">
        <v>9781260462883</v>
      </c>
      <c r="G999" s="16" t="s">
        <v>796</v>
      </c>
      <c r="H999" s="16" t="s">
        <v>13</v>
      </c>
      <c r="I999" s="16">
        <v>2021</v>
      </c>
      <c r="J999" s="16" t="s">
        <v>5025</v>
      </c>
      <c r="K999" s="16" t="s">
        <v>1617</v>
      </c>
      <c r="L999" s="16" t="s">
        <v>15</v>
      </c>
      <c r="M999" s="16" t="s">
        <v>5026</v>
      </c>
      <c r="N999" s="16"/>
      <c r="O999" s="16"/>
    </row>
    <row r="1000" spans="1:15" x14ac:dyDescent="0.3">
      <c r="A1000" s="16">
        <v>999</v>
      </c>
      <c r="B1000" s="16" t="s">
        <v>1641</v>
      </c>
      <c r="C1000" s="16" t="str">
        <f>"V6224928523001"</f>
        <v>V6224928523001</v>
      </c>
      <c r="D1000" s="16" t="s">
        <v>5027</v>
      </c>
      <c r="E1000" s="16" t="s">
        <v>4967</v>
      </c>
      <c r="F1000" s="21">
        <v>9781260462883</v>
      </c>
      <c r="G1000" s="16" t="s">
        <v>796</v>
      </c>
      <c r="H1000" s="16" t="s">
        <v>13</v>
      </c>
      <c r="I1000" s="16">
        <v>2021</v>
      </c>
      <c r="J1000" s="16" t="s">
        <v>5028</v>
      </c>
      <c r="K1000" s="16" t="s">
        <v>4126</v>
      </c>
      <c r="L1000" s="16" t="s">
        <v>15</v>
      </c>
      <c r="M1000" s="16" t="s">
        <v>5029</v>
      </c>
      <c r="N1000" s="16"/>
      <c r="O1000" s="16"/>
    </row>
    <row r="1001" spans="1:15" x14ac:dyDescent="0.3">
      <c r="A1001" s="16">
        <v>1000</v>
      </c>
      <c r="B1001" s="16" t="s">
        <v>1641</v>
      </c>
      <c r="C1001" s="16" t="str">
        <f>"V6224930117001"</f>
        <v>V6224930117001</v>
      </c>
      <c r="D1001" s="16" t="s">
        <v>5030</v>
      </c>
      <c r="E1001" s="16" t="s">
        <v>4967</v>
      </c>
      <c r="F1001" s="21">
        <v>9781260462883</v>
      </c>
      <c r="G1001" s="16" t="s">
        <v>796</v>
      </c>
      <c r="H1001" s="16" t="s">
        <v>13</v>
      </c>
      <c r="I1001" s="16">
        <v>2021</v>
      </c>
      <c r="J1001" s="16" t="s">
        <v>5031</v>
      </c>
      <c r="K1001" s="16" t="s">
        <v>4287</v>
      </c>
      <c r="L1001" s="16" t="s">
        <v>15</v>
      </c>
      <c r="M1001" s="16" t="s">
        <v>5032</v>
      </c>
      <c r="N1001" s="16"/>
      <c r="O1001" s="16"/>
    </row>
    <row r="1002" spans="1:15" x14ac:dyDescent="0.3">
      <c r="A1002" s="16">
        <v>1001</v>
      </c>
      <c r="B1002" s="16" t="s">
        <v>1641</v>
      </c>
      <c r="C1002" s="16" t="str">
        <f>"V6224930135001"</f>
        <v>V6224930135001</v>
      </c>
      <c r="D1002" s="16" t="s">
        <v>5033</v>
      </c>
      <c r="E1002" s="16" t="s">
        <v>4967</v>
      </c>
      <c r="F1002" s="21">
        <v>9781260462883</v>
      </c>
      <c r="G1002" s="16" t="s">
        <v>796</v>
      </c>
      <c r="H1002" s="16" t="s">
        <v>13</v>
      </c>
      <c r="I1002" s="16">
        <v>2021</v>
      </c>
      <c r="J1002" s="16" t="s">
        <v>5034</v>
      </c>
      <c r="K1002" s="16" t="s">
        <v>1617</v>
      </c>
      <c r="L1002" s="16" t="s">
        <v>15</v>
      </c>
      <c r="M1002" s="16" t="s">
        <v>5035</v>
      </c>
      <c r="N1002" s="16"/>
      <c r="O1002" s="16"/>
    </row>
    <row r="1003" spans="1:15" x14ac:dyDescent="0.3">
      <c r="A1003" s="16">
        <v>1002</v>
      </c>
      <c r="B1003" s="16" t="s">
        <v>1641</v>
      </c>
      <c r="C1003" s="16" t="str">
        <f>"V6224931349001"</f>
        <v>V6224931349001</v>
      </c>
      <c r="D1003" s="16" t="s">
        <v>5036</v>
      </c>
      <c r="E1003" s="16" t="s">
        <v>4967</v>
      </c>
      <c r="F1003" s="21">
        <v>9781260462883</v>
      </c>
      <c r="G1003" s="16" t="s">
        <v>796</v>
      </c>
      <c r="H1003" s="16" t="s">
        <v>13</v>
      </c>
      <c r="I1003" s="16">
        <v>2021</v>
      </c>
      <c r="J1003" s="16" t="s">
        <v>5037</v>
      </c>
      <c r="K1003" s="16" t="s">
        <v>4126</v>
      </c>
      <c r="L1003" s="16" t="s">
        <v>15</v>
      </c>
      <c r="M1003" s="16" t="s">
        <v>5038</v>
      </c>
      <c r="N1003" s="16"/>
      <c r="O1003" s="16"/>
    </row>
    <row r="1004" spans="1:15" x14ac:dyDescent="0.3">
      <c r="A1004" s="16">
        <v>1003</v>
      </c>
      <c r="B1004" s="16" t="s">
        <v>1641</v>
      </c>
      <c r="C1004" s="16" t="str">
        <f>"V6224931351001"</f>
        <v>V6224931351001</v>
      </c>
      <c r="D1004" s="16" t="s">
        <v>5039</v>
      </c>
      <c r="E1004" s="16" t="s">
        <v>4967</v>
      </c>
      <c r="F1004" s="21">
        <v>9781260462883</v>
      </c>
      <c r="G1004" s="16" t="s">
        <v>796</v>
      </c>
      <c r="H1004" s="16" t="s">
        <v>13</v>
      </c>
      <c r="I1004" s="16">
        <v>2021</v>
      </c>
      <c r="J1004" s="16" t="s">
        <v>5040</v>
      </c>
      <c r="K1004" s="16" t="s">
        <v>4287</v>
      </c>
      <c r="L1004" s="16" t="s">
        <v>15</v>
      </c>
      <c r="M1004" s="16" t="s">
        <v>5041</v>
      </c>
      <c r="N1004" s="16"/>
      <c r="O1004" s="16"/>
    </row>
    <row r="1005" spans="1:15" x14ac:dyDescent="0.3">
      <c r="A1005" s="16">
        <v>1004</v>
      </c>
      <c r="B1005" s="16" t="s">
        <v>1641</v>
      </c>
      <c r="C1005" s="16" t="str">
        <f>"V6224936609001"</f>
        <v>V6224936609001</v>
      </c>
      <c r="D1005" s="16" t="s">
        <v>5042</v>
      </c>
      <c r="E1005" s="16" t="s">
        <v>4967</v>
      </c>
      <c r="F1005" s="21">
        <v>9781260462883</v>
      </c>
      <c r="G1005" s="16" t="s">
        <v>796</v>
      </c>
      <c r="H1005" s="16" t="s">
        <v>13</v>
      </c>
      <c r="I1005" s="16">
        <v>2021</v>
      </c>
      <c r="J1005" s="16" t="s">
        <v>5043</v>
      </c>
      <c r="K1005" s="16" t="s">
        <v>5019</v>
      </c>
      <c r="L1005" s="16" t="s">
        <v>15</v>
      </c>
      <c r="M1005" s="16" t="s">
        <v>5044</v>
      </c>
      <c r="N1005" s="16"/>
      <c r="O1005" s="16"/>
    </row>
    <row r="1006" spans="1:15" x14ac:dyDescent="0.3">
      <c r="A1006" s="16">
        <v>1005</v>
      </c>
      <c r="B1006" s="16" t="s">
        <v>1641</v>
      </c>
      <c r="C1006" s="16" t="str">
        <f>"V6231312663001"</f>
        <v>V6231312663001</v>
      </c>
      <c r="D1006" s="16" t="s">
        <v>5045</v>
      </c>
      <c r="E1006" s="16" t="s">
        <v>5046</v>
      </c>
      <c r="F1006" s="21">
        <v>9781260462869</v>
      </c>
      <c r="G1006" s="16" t="s">
        <v>796</v>
      </c>
      <c r="H1006" s="16" t="s">
        <v>13</v>
      </c>
      <c r="I1006" s="16">
        <v>2021</v>
      </c>
      <c r="J1006" s="16" t="s">
        <v>5047</v>
      </c>
      <c r="K1006" s="16" t="s">
        <v>1805</v>
      </c>
      <c r="L1006" s="16" t="s">
        <v>15</v>
      </c>
      <c r="M1006" s="16" t="s">
        <v>5048</v>
      </c>
      <c r="N1006" s="16"/>
      <c r="O1006" s="16"/>
    </row>
    <row r="1007" spans="1:15" x14ac:dyDescent="0.3">
      <c r="A1007" s="16">
        <v>1006</v>
      </c>
      <c r="B1007" s="16" t="s">
        <v>1641</v>
      </c>
      <c r="C1007" s="16" t="str">
        <f>"V6231312664001"</f>
        <v>V6231312664001</v>
      </c>
      <c r="D1007" s="16" t="s">
        <v>5049</v>
      </c>
      <c r="E1007" s="16" t="s">
        <v>5046</v>
      </c>
      <c r="F1007" s="21">
        <v>9781260462869</v>
      </c>
      <c r="G1007" s="16" t="s">
        <v>796</v>
      </c>
      <c r="H1007" s="16" t="s">
        <v>13</v>
      </c>
      <c r="I1007" s="16">
        <v>2021</v>
      </c>
      <c r="J1007" s="16" t="s">
        <v>5050</v>
      </c>
      <c r="K1007" s="16" t="s">
        <v>4640</v>
      </c>
      <c r="L1007" s="16" t="s">
        <v>15</v>
      </c>
      <c r="M1007" s="16" t="s">
        <v>5051</v>
      </c>
      <c r="N1007" s="16"/>
      <c r="O1007" s="16"/>
    </row>
    <row r="1008" spans="1:15" x14ac:dyDescent="0.3">
      <c r="A1008" s="16">
        <v>1007</v>
      </c>
      <c r="B1008" s="16" t="s">
        <v>1641</v>
      </c>
      <c r="C1008" s="16" t="str">
        <f>"V6231314320001"</f>
        <v>V6231314320001</v>
      </c>
      <c r="D1008" s="16" t="s">
        <v>5052</v>
      </c>
      <c r="E1008" s="16" t="s">
        <v>5046</v>
      </c>
      <c r="F1008" s="21">
        <v>9781260462869</v>
      </c>
      <c r="G1008" s="16" t="s">
        <v>796</v>
      </c>
      <c r="H1008" s="16" t="s">
        <v>13</v>
      </c>
      <c r="I1008" s="16">
        <v>2021</v>
      </c>
      <c r="J1008" s="16" t="s">
        <v>5053</v>
      </c>
      <c r="K1008" s="16" t="s">
        <v>5054</v>
      </c>
      <c r="L1008" s="16" t="s">
        <v>15</v>
      </c>
      <c r="M1008" s="16" t="s">
        <v>5055</v>
      </c>
      <c r="N1008" s="16"/>
      <c r="O1008" s="16"/>
    </row>
    <row r="1009" spans="1:15" x14ac:dyDescent="0.3">
      <c r="A1009" s="16">
        <v>1008</v>
      </c>
      <c r="B1009" s="16" t="s">
        <v>1641</v>
      </c>
      <c r="C1009" s="16" t="str">
        <f>"V6231314321001"</f>
        <v>V6231314321001</v>
      </c>
      <c r="D1009" s="16" t="s">
        <v>5056</v>
      </c>
      <c r="E1009" s="16" t="s">
        <v>5046</v>
      </c>
      <c r="F1009" s="21">
        <v>9781260462869</v>
      </c>
      <c r="G1009" s="16" t="s">
        <v>796</v>
      </c>
      <c r="H1009" s="16" t="s">
        <v>13</v>
      </c>
      <c r="I1009" s="16">
        <v>2021</v>
      </c>
      <c r="J1009" s="16" t="s">
        <v>5057</v>
      </c>
      <c r="K1009" s="16" t="s">
        <v>5058</v>
      </c>
      <c r="L1009" s="16" t="s">
        <v>15</v>
      </c>
      <c r="M1009" s="16" t="s">
        <v>5059</v>
      </c>
      <c r="N1009" s="16"/>
      <c r="O1009" s="16"/>
    </row>
    <row r="1010" spans="1:15" x14ac:dyDescent="0.3">
      <c r="A1010" s="16">
        <v>1009</v>
      </c>
      <c r="B1010" s="16" t="s">
        <v>1641</v>
      </c>
      <c r="C1010" s="16" t="str">
        <f>"V6231314422001"</f>
        <v>V6231314422001</v>
      </c>
      <c r="D1010" s="16" t="s">
        <v>5060</v>
      </c>
      <c r="E1010" s="16" t="s">
        <v>5046</v>
      </c>
      <c r="F1010" s="21">
        <v>9781260462869</v>
      </c>
      <c r="G1010" s="16" t="s">
        <v>796</v>
      </c>
      <c r="H1010" s="16" t="s">
        <v>13</v>
      </c>
      <c r="I1010" s="16">
        <v>2021</v>
      </c>
      <c r="J1010" s="16" t="s">
        <v>5061</v>
      </c>
      <c r="K1010" s="16" t="s">
        <v>4126</v>
      </c>
      <c r="L1010" s="16" t="s">
        <v>15</v>
      </c>
      <c r="M1010" s="16" t="s">
        <v>5062</v>
      </c>
      <c r="N1010" s="16"/>
      <c r="O1010" s="16"/>
    </row>
    <row r="1011" spans="1:15" x14ac:dyDescent="0.3">
      <c r="A1011" s="16">
        <v>1010</v>
      </c>
      <c r="B1011" s="16" t="s">
        <v>1641</v>
      </c>
      <c r="C1011" s="16" t="str">
        <f>"V6231314423001"</f>
        <v>V6231314423001</v>
      </c>
      <c r="D1011" s="16" t="s">
        <v>5063</v>
      </c>
      <c r="E1011" s="16" t="s">
        <v>5046</v>
      </c>
      <c r="F1011" s="21">
        <v>9781260462869</v>
      </c>
      <c r="G1011" s="16" t="s">
        <v>796</v>
      </c>
      <c r="H1011" s="16" t="s">
        <v>13</v>
      </c>
      <c r="I1011" s="16">
        <v>2021</v>
      </c>
      <c r="J1011" s="16" t="s">
        <v>5064</v>
      </c>
      <c r="K1011" s="16" t="s">
        <v>4126</v>
      </c>
      <c r="L1011" s="16" t="s">
        <v>15</v>
      </c>
      <c r="M1011" s="16" t="s">
        <v>5065</v>
      </c>
      <c r="N1011" s="16"/>
      <c r="O1011" s="16"/>
    </row>
    <row r="1012" spans="1:15" x14ac:dyDescent="0.3">
      <c r="A1012" s="16">
        <v>1011</v>
      </c>
      <c r="B1012" s="16" t="s">
        <v>1641</v>
      </c>
      <c r="C1012" s="16" t="str">
        <f>"V6231314425001"</f>
        <v>V6231314425001</v>
      </c>
      <c r="D1012" s="16" t="s">
        <v>5066</v>
      </c>
      <c r="E1012" s="16" t="s">
        <v>5046</v>
      </c>
      <c r="F1012" s="21">
        <v>9781260462869</v>
      </c>
      <c r="G1012" s="16" t="s">
        <v>796</v>
      </c>
      <c r="H1012" s="16" t="s">
        <v>13</v>
      </c>
      <c r="I1012" s="16">
        <v>2021</v>
      </c>
      <c r="J1012" s="16" t="s">
        <v>5067</v>
      </c>
      <c r="K1012" s="16" t="s">
        <v>1926</v>
      </c>
      <c r="L1012" s="16" t="s">
        <v>15</v>
      </c>
      <c r="M1012" s="16" t="s">
        <v>5068</v>
      </c>
      <c r="N1012" s="16"/>
      <c r="O1012" s="16"/>
    </row>
    <row r="1013" spans="1:15" x14ac:dyDescent="0.3">
      <c r="A1013" s="16">
        <v>1012</v>
      </c>
      <c r="B1013" s="16" t="s">
        <v>1641</v>
      </c>
      <c r="C1013" s="16" t="str">
        <f>"V6231315684001"</f>
        <v>V6231315684001</v>
      </c>
      <c r="D1013" s="16" t="s">
        <v>5069</v>
      </c>
      <c r="E1013" s="16" t="s">
        <v>5046</v>
      </c>
      <c r="F1013" s="21">
        <v>9781260462869</v>
      </c>
      <c r="G1013" s="16" t="s">
        <v>796</v>
      </c>
      <c r="H1013" s="16" t="s">
        <v>13</v>
      </c>
      <c r="I1013" s="16">
        <v>2021</v>
      </c>
      <c r="J1013" s="16" t="s">
        <v>5070</v>
      </c>
      <c r="K1013" s="16" t="s">
        <v>5071</v>
      </c>
      <c r="L1013" s="16" t="s">
        <v>15</v>
      </c>
      <c r="M1013" s="16" t="s">
        <v>5072</v>
      </c>
      <c r="N1013" s="16"/>
      <c r="O1013" s="16"/>
    </row>
    <row r="1014" spans="1:15" x14ac:dyDescent="0.3">
      <c r="A1014" s="16">
        <v>1013</v>
      </c>
      <c r="B1014" s="16" t="s">
        <v>1641</v>
      </c>
      <c r="C1014" s="16" t="str">
        <f>"V6231315685001"</f>
        <v>V6231315685001</v>
      </c>
      <c r="D1014" s="16" t="s">
        <v>5073</v>
      </c>
      <c r="E1014" s="16" t="s">
        <v>5046</v>
      </c>
      <c r="F1014" s="21">
        <v>9781260462869</v>
      </c>
      <c r="G1014" s="16" t="s">
        <v>796</v>
      </c>
      <c r="H1014" s="16" t="s">
        <v>13</v>
      </c>
      <c r="I1014" s="16">
        <v>2021</v>
      </c>
      <c r="J1014" s="16" t="s">
        <v>5074</v>
      </c>
      <c r="K1014" s="16" t="s">
        <v>4653</v>
      </c>
      <c r="L1014" s="16" t="s">
        <v>15</v>
      </c>
      <c r="M1014" s="16" t="s">
        <v>5075</v>
      </c>
      <c r="N1014" s="16"/>
      <c r="O1014" s="16"/>
    </row>
    <row r="1015" spans="1:15" x14ac:dyDescent="0.3">
      <c r="A1015" s="16">
        <v>1014</v>
      </c>
      <c r="B1015" s="16" t="s">
        <v>1641</v>
      </c>
      <c r="C1015" s="16" t="str">
        <f>"V6231315872001"</f>
        <v>V6231315872001</v>
      </c>
      <c r="D1015" s="16" t="s">
        <v>5076</v>
      </c>
      <c r="E1015" s="16" t="s">
        <v>5046</v>
      </c>
      <c r="F1015" s="21">
        <v>9781260462869</v>
      </c>
      <c r="G1015" s="16" t="s">
        <v>796</v>
      </c>
      <c r="H1015" s="16" t="s">
        <v>13</v>
      </c>
      <c r="I1015" s="16">
        <v>2021</v>
      </c>
      <c r="J1015" s="16" t="s">
        <v>5077</v>
      </c>
      <c r="K1015" s="16" t="s">
        <v>5078</v>
      </c>
      <c r="L1015" s="16" t="s">
        <v>15</v>
      </c>
      <c r="M1015" s="16" t="s">
        <v>5079</v>
      </c>
      <c r="N1015" s="16"/>
      <c r="O1015" s="16"/>
    </row>
    <row r="1016" spans="1:15" x14ac:dyDescent="0.3">
      <c r="A1016" s="16">
        <v>1015</v>
      </c>
      <c r="B1016" s="16" t="s">
        <v>1641</v>
      </c>
      <c r="C1016" s="16" t="str">
        <f>"V6231316574001"</f>
        <v>V6231316574001</v>
      </c>
      <c r="D1016" s="16" t="s">
        <v>5080</v>
      </c>
      <c r="E1016" s="16" t="s">
        <v>5046</v>
      </c>
      <c r="F1016" s="21">
        <v>9781260462869</v>
      </c>
      <c r="G1016" s="16" t="s">
        <v>796</v>
      </c>
      <c r="H1016" s="16" t="s">
        <v>13</v>
      </c>
      <c r="I1016" s="16">
        <v>2021</v>
      </c>
      <c r="J1016" s="16" t="s">
        <v>5081</v>
      </c>
      <c r="K1016" s="16" t="s">
        <v>5082</v>
      </c>
      <c r="L1016" s="16" t="s">
        <v>15</v>
      </c>
      <c r="M1016" s="16" t="s">
        <v>5083</v>
      </c>
      <c r="N1016" s="16"/>
      <c r="O1016" s="16"/>
    </row>
    <row r="1017" spans="1:15" x14ac:dyDescent="0.3">
      <c r="A1017" s="16">
        <v>1016</v>
      </c>
      <c r="B1017" s="16" t="s">
        <v>1641</v>
      </c>
      <c r="C1017" s="16" t="str">
        <f>"V6231316577001"</f>
        <v>V6231316577001</v>
      </c>
      <c r="D1017" s="16" t="s">
        <v>5084</v>
      </c>
      <c r="E1017" s="16" t="s">
        <v>5046</v>
      </c>
      <c r="F1017" s="21">
        <v>9781260462869</v>
      </c>
      <c r="G1017" s="16" t="s">
        <v>796</v>
      </c>
      <c r="H1017" s="16" t="s">
        <v>13</v>
      </c>
      <c r="I1017" s="16">
        <v>2021</v>
      </c>
      <c r="J1017" s="16" t="s">
        <v>5085</v>
      </c>
      <c r="K1017" s="16" t="s">
        <v>5078</v>
      </c>
      <c r="L1017" s="16" t="s">
        <v>15</v>
      </c>
      <c r="M1017" s="16" t="s">
        <v>5086</v>
      </c>
      <c r="N1017" s="16"/>
      <c r="O1017" s="16"/>
    </row>
    <row r="1018" spans="1:15" x14ac:dyDescent="0.3">
      <c r="A1018" s="16">
        <v>1017</v>
      </c>
      <c r="B1018" s="16" t="s">
        <v>1641</v>
      </c>
      <c r="C1018" s="16" t="str">
        <f>"V6231317513001"</f>
        <v>V6231317513001</v>
      </c>
      <c r="D1018" s="16" t="s">
        <v>5087</v>
      </c>
      <c r="E1018" s="16" t="s">
        <v>5046</v>
      </c>
      <c r="F1018" s="21">
        <v>9781260462869</v>
      </c>
      <c r="G1018" s="16" t="s">
        <v>796</v>
      </c>
      <c r="H1018" s="16" t="s">
        <v>13</v>
      </c>
      <c r="I1018" s="16">
        <v>2021</v>
      </c>
      <c r="J1018" s="16" t="s">
        <v>5088</v>
      </c>
      <c r="K1018" s="16" t="s">
        <v>4126</v>
      </c>
      <c r="L1018" s="16" t="s">
        <v>15</v>
      </c>
      <c r="M1018" s="16" t="s">
        <v>5089</v>
      </c>
      <c r="N1018" s="16"/>
      <c r="O1018" s="16"/>
    </row>
    <row r="1019" spans="1:15" x14ac:dyDescent="0.3">
      <c r="A1019" s="16">
        <v>1018</v>
      </c>
      <c r="B1019" s="16" t="s">
        <v>1641</v>
      </c>
      <c r="C1019" s="16" t="str">
        <f>"V6231318657001"</f>
        <v>V6231318657001</v>
      </c>
      <c r="D1019" s="16" t="s">
        <v>5090</v>
      </c>
      <c r="E1019" s="16" t="s">
        <v>5046</v>
      </c>
      <c r="F1019" s="21">
        <v>9781260462869</v>
      </c>
      <c r="G1019" s="16" t="s">
        <v>796</v>
      </c>
      <c r="H1019" s="16" t="s">
        <v>13</v>
      </c>
      <c r="I1019" s="16">
        <v>2021</v>
      </c>
      <c r="J1019" s="16" t="s">
        <v>5091</v>
      </c>
      <c r="K1019" s="16" t="s">
        <v>5078</v>
      </c>
      <c r="L1019" s="16" t="s">
        <v>15</v>
      </c>
      <c r="M1019" s="16" t="s">
        <v>5092</v>
      </c>
      <c r="N1019" s="16"/>
      <c r="O1019" s="16"/>
    </row>
    <row r="1020" spans="1:15" x14ac:dyDescent="0.3">
      <c r="A1020" s="16">
        <v>1019</v>
      </c>
      <c r="B1020" s="16" t="s">
        <v>1641</v>
      </c>
      <c r="C1020" s="16" t="str">
        <f>"V6231318658001"</f>
        <v>V6231318658001</v>
      </c>
      <c r="D1020" s="16" t="s">
        <v>5093</v>
      </c>
      <c r="E1020" s="16" t="s">
        <v>5046</v>
      </c>
      <c r="F1020" s="21">
        <v>9781260462869</v>
      </c>
      <c r="G1020" s="16" t="s">
        <v>796</v>
      </c>
      <c r="H1020" s="16" t="s">
        <v>13</v>
      </c>
      <c r="I1020" s="16">
        <v>2021</v>
      </c>
      <c r="J1020" s="16" t="s">
        <v>5094</v>
      </c>
      <c r="K1020" s="16" t="s">
        <v>1805</v>
      </c>
      <c r="L1020" s="16" t="s">
        <v>15</v>
      </c>
      <c r="M1020" s="16" t="s">
        <v>5095</v>
      </c>
      <c r="N1020" s="16"/>
      <c r="O1020" s="16"/>
    </row>
    <row r="1021" spans="1:15" x14ac:dyDescent="0.3">
      <c r="A1021" s="16">
        <v>1020</v>
      </c>
      <c r="B1021" s="16" t="s">
        <v>1641</v>
      </c>
      <c r="C1021" s="16" t="str">
        <f>"V6231318659001"</f>
        <v>V6231318659001</v>
      </c>
      <c r="D1021" s="16" t="s">
        <v>5096</v>
      </c>
      <c r="E1021" s="16" t="s">
        <v>5046</v>
      </c>
      <c r="F1021" s="21">
        <v>9781260462869</v>
      </c>
      <c r="G1021" s="16" t="s">
        <v>796</v>
      </c>
      <c r="H1021" s="16" t="s">
        <v>13</v>
      </c>
      <c r="I1021" s="16">
        <v>2021</v>
      </c>
      <c r="J1021" s="16" t="s">
        <v>5097</v>
      </c>
      <c r="K1021" s="16" t="s">
        <v>1786</v>
      </c>
      <c r="L1021" s="16" t="s">
        <v>15</v>
      </c>
      <c r="M1021" s="16" t="s">
        <v>5098</v>
      </c>
      <c r="N1021" s="16"/>
      <c r="O1021" s="16"/>
    </row>
    <row r="1022" spans="1:15" x14ac:dyDescent="0.3">
      <c r="A1022" s="16">
        <v>1021</v>
      </c>
      <c r="B1022" s="16" t="s">
        <v>1641</v>
      </c>
      <c r="C1022" s="16" t="str">
        <f>"V6231318754001"</f>
        <v>V6231318754001</v>
      </c>
      <c r="D1022" s="16" t="s">
        <v>5099</v>
      </c>
      <c r="E1022" s="16" t="s">
        <v>5046</v>
      </c>
      <c r="F1022" s="21">
        <v>9781260462869</v>
      </c>
      <c r="G1022" s="16" t="s">
        <v>796</v>
      </c>
      <c r="H1022" s="16" t="s">
        <v>13</v>
      </c>
      <c r="I1022" s="16">
        <v>2021</v>
      </c>
      <c r="J1022" s="16" t="s">
        <v>5100</v>
      </c>
      <c r="K1022" s="16" t="s">
        <v>566</v>
      </c>
      <c r="L1022" s="16" t="s">
        <v>15</v>
      </c>
      <c r="M1022" s="16" t="s">
        <v>5101</v>
      </c>
      <c r="N1022" s="16"/>
      <c r="O1022" s="16"/>
    </row>
    <row r="1023" spans="1:15" x14ac:dyDescent="0.3">
      <c r="A1023" s="16">
        <v>1022</v>
      </c>
      <c r="B1023" s="16" t="s">
        <v>1641</v>
      </c>
      <c r="C1023" s="16" t="str">
        <f>"V6231318755001"</f>
        <v>V6231318755001</v>
      </c>
      <c r="D1023" s="16" t="s">
        <v>5102</v>
      </c>
      <c r="E1023" s="16" t="s">
        <v>5046</v>
      </c>
      <c r="F1023" s="21">
        <v>9781260462869</v>
      </c>
      <c r="G1023" s="16" t="s">
        <v>796</v>
      </c>
      <c r="H1023" s="16" t="s">
        <v>13</v>
      </c>
      <c r="I1023" s="16">
        <v>2021</v>
      </c>
      <c r="J1023" s="16" t="s">
        <v>5103</v>
      </c>
      <c r="K1023" s="16" t="s">
        <v>4126</v>
      </c>
      <c r="L1023" s="16" t="s">
        <v>15</v>
      </c>
      <c r="M1023" s="16" t="s">
        <v>5104</v>
      </c>
      <c r="N1023" s="16"/>
      <c r="O1023" s="16"/>
    </row>
    <row r="1024" spans="1:15" x14ac:dyDescent="0.3">
      <c r="A1024" s="16">
        <v>1023</v>
      </c>
      <c r="B1024" s="16" t="s">
        <v>1641</v>
      </c>
      <c r="C1024" s="16" t="str">
        <f>"V6231318756001"</f>
        <v>V6231318756001</v>
      </c>
      <c r="D1024" s="16" t="s">
        <v>5105</v>
      </c>
      <c r="E1024" s="16" t="s">
        <v>5046</v>
      </c>
      <c r="F1024" s="21">
        <v>9781260462869</v>
      </c>
      <c r="G1024" s="16" t="s">
        <v>796</v>
      </c>
      <c r="H1024" s="16" t="s">
        <v>13</v>
      </c>
      <c r="I1024" s="16">
        <v>2021</v>
      </c>
      <c r="J1024" s="16" t="s">
        <v>5106</v>
      </c>
      <c r="K1024" s="16" t="s">
        <v>5078</v>
      </c>
      <c r="L1024" s="16" t="s">
        <v>15</v>
      </c>
      <c r="M1024" s="16" t="s">
        <v>5107</v>
      </c>
      <c r="N1024" s="16"/>
      <c r="O1024" s="16"/>
    </row>
    <row r="1025" spans="1:15" x14ac:dyDescent="0.3">
      <c r="A1025" s="16">
        <v>1024</v>
      </c>
      <c r="B1025" s="16" t="s">
        <v>1641</v>
      </c>
      <c r="C1025" s="16" t="str">
        <f>"V6231345093001"</f>
        <v>V6231345093001</v>
      </c>
      <c r="D1025" s="16" t="s">
        <v>5108</v>
      </c>
      <c r="E1025" s="16" t="s">
        <v>5046</v>
      </c>
      <c r="F1025" s="21">
        <v>9781260462869</v>
      </c>
      <c r="G1025" s="16" t="s">
        <v>796</v>
      </c>
      <c r="H1025" s="16" t="s">
        <v>13</v>
      </c>
      <c r="I1025" s="16">
        <v>2021</v>
      </c>
      <c r="J1025" s="16" t="s">
        <v>5109</v>
      </c>
      <c r="K1025" s="16" t="s">
        <v>5110</v>
      </c>
      <c r="L1025" s="16" t="s">
        <v>15</v>
      </c>
      <c r="M1025" s="16" t="s">
        <v>5111</v>
      </c>
      <c r="N1025" s="16"/>
      <c r="O1025" s="16"/>
    </row>
    <row r="1026" spans="1:15" x14ac:dyDescent="0.3">
      <c r="A1026" s="16">
        <v>1025</v>
      </c>
      <c r="B1026" s="16" t="s">
        <v>1641</v>
      </c>
      <c r="C1026" s="16" t="str">
        <f>"V6231347497001"</f>
        <v>V6231347497001</v>
      </c>
      <c r="D1026" s="16" t="s">
        <v>5112</v>
      </c>
      <c r="E1026" s="16" t="s">
        <v>5046</v>
      </c>
      <c r="F1026" s="21">
        <v>9781260462869</v>
      </c>
      <c r="G1026" s="16" t="s">
        <v>796</v>
      </c>
      <c r="H1026" s="16" t="s">
        <v>13</v>
      </c>
      <c r="I1026" s="16">
        <v>2021</v>
      </c>
      <c r="J1026" s="16" t="s">
        <v>5113</v>
      </c>
      <c r="K1026" s="16" t="s">
        <v>5078</v>
      </c>
      <c r="L1026" s="16" t="s">
        <v>15</v>
      </c>
      <c r="M1026" s="16" t="s">
        <v>5114</v>
      </c>
      <c r="N1026" s="16"/>
      <c r="O1026" s="16"/>
    </row>
    <row r="1027" spans="1:15" x14ac:dyDescent="0.3">
      <c r="A1027" s="16">
        <v>1026</v>
      </c>
      <c r="B1027" s="16" t="s">
        <v>1641</v>
      </c>
      <c r="C1027" s="16" t="str">
        <f>"V6231348676001"</f>
        <v>V6231348676001</v>
      </c>
      <c r="D1027" s="16" t="s">
        <v>5115</v>
      </c>
      <c r="E1027" s="16" t="s">
        <v>5046</v>
      </c>
      <c r="F1027" s="21">
        <v>9781260462869</v>
      </c>
      <c r="G1027" s="16" t="s">
        <v>796</v>
      </c>
      <c r="H1027" s="16" t="s">
        <v>13</v>
      </c>
      <c r="I1027" s="16">
        <v>2021</v>
      </c>
      <c r="J1027" s="16" t="s">
        <v>5116</v>
      </c>
      <c r="K1027" s="16" t="s">
        <v>1954</v>
      </c>
      <c r="L1027" s="16" t="s">
        <v>15</v>
      </c>
      <c r="M1027" s="16" t="s">
        <v>5117</v>
      </c>
      <c r="N1027" s="16"/>
      <c r="O1027" s="16"/>
    </row>
    <row r="1028" spans="1:15" x14ac:dyDescent="0.3">
      <c r="A1028" s="16">
        <v>1027</v>
      </c>
      <c r="B1028" s="16" t="s">
        <v>1641</v>
      </c>
      <c r="C1028" s="16" t="str">
        <f>"V6231351905001"</f>
        <v>V6231351905001</v>
      </c>
      <c r="D1028" s="16" t="s">
        <v>5118</v>
      </c>
      <c r="E1028" s="16" t="s">
        <v>5046</v>
      </c>
      <c r="F1028" s="21">
        <v>9781260462869</v>
      </c>
      <c r="G1028" s="16" t="s">
        <v>796</v>
      </c>
      <c r="H1028" s="16" t="s">
        <v>13</v>
      </c>
      <c r="I1028" s="16">
        <v>2021</v>
      </c>
      <c r="J1028" s="16" t="s">
        <v>5119</v>
      </c>
      <c r="K1028" s="16" t="s">
        <v>5019</v>
      </c>
      <c r="L1028" s="16" t="s">
        <v>15</v>
      </c>
      <c r="M1028" s="16" t="s">
        <v>5120</v>
      </c>
      <c r="N1028" s="16"/>
      <c r="O1028" s="16"/>
    </row>
    <row r="1029" spans="1:15" x14ac:dyDescent="0.3">
      <c r="A1029" s="16">
        <v>1028</v>
      </c>
      <c r="B1029" s="16" t="s">
        <v>1641</v>
      </c>
      <c r="C1029" s="16" t="str">
        <f>"V6231360260001"</f>
        <v>V6231360260001</v>
      </c>
      <c r="D1029" s="16" t="s">
        <v>5121</v>
      </c>
      <c r="E1029" s="16" t="s">
        <v>5046</v>
      </c>
      <c r="F1029" s="21">
        <v>9781260462869</v>
      </c>
      <c r="G1029" s="16" t="s">
        <v>796</v>
      </c>
      <c r="H1029" s="16" t="s">
        <v>13</v>
      </c>
      <c r="I1029" s="16">
        <v>2021</v>
      </c>
      <c r="J1029" s="16" t="s">
        <v>5122</v>
      </c>
      <c r="K1029" s="16" t="s">
        <v>5123</v>
      </c>
      <c r="L1029" s="16" t="s">
        <v>15</v>
      </c>
      <c r="M1029" s="16" t="s">
        <v>5124</v>
      </c>
      <c r="N1029" s="16"/>
      <c r="O1029" s="16"/>
    </row>
    <row r="1030" spans="1:15" x14ac:dyDescent="0.3">
      <c r="A1030" s="16">
        <v>1029</v>
      </c>
      <c r="B1030" s="16" t="s">
        <v>1641</v>
      </c>
      <c r="C1030" s="16" t="str">
        <f>"V6231360545001"</f>
        <v>V6231360545001</v>
      </c>
      <c r="D1030" s="16" t="s">
        <v>5125</v>
      </c>
      <c r="E1030" s="16" t="s">
        <v>5046</v>
      </c>
      <c r="F1030" s="21">
        <v>9781260462869</v>
      </c>
      <c r="G1030" s="16" t="s">
        <v>796</v>
      </c>
      <c r="H1030" s="16" t="s">
        <v>13</v>
      </c>
      <c r="I1030" s="16">
        <v>2021</v>
      </c>
      <c r="J1030" s="16" t="s">
        <v>5126</v>
      </c>
      <c r="K1030" s="16" t="s">
        <v>1736</v>
      </c>
      <c r="L1030" s="16" t="s">
        <v>15</v>
      </c>
      <c r="M1030" s="16" t="s">
        <v>5127</v>
      </c>
      <c r="N1030" s="16"/>
      <c r="O1030" s="16"/>
    </row>
    <row r="1031" spans="1:15" x14ac:dyDescent="0.3">
      <c r="A1031" s="16">
        <v>1030</v>
      </c>
      <c r="B1031" s="16" t="s">
        <v>1641</v>
      </c>
      <c r="C1031" s="16" t="str">
        <f>"V6285630637001"</f>
        <v>V6285630637001</v>
      </c>
      <c r="D1031" s="16" t="s">
        <v>5128</v>
      </c>
      <c r="E1031" s="16" t="s">
        <v>5129</v>
      </c>
      <c r="F1031" s="21">
        <v>9781260452334</v>
      </c>
      <c r="G1031" s="16"/>
      <c r="H1031" s="16" t="s">
        <v>13</v>
      </c>
      <c r="I1031" s="16">
        <v>2021</v>
      </c>
      <c r="J1031" s="16" t="s">
        <v>5130</v>
      </c>
      <c r="K1031" s="16" t="s">
        <v>158</v>
      </c>
      <c r="L1031" s="16" t="s">
        <v>15</v>
      </c>
      <c r="M1031" s="16" t="s">
        <v>5131</v>
      </c>
      <c r="N1031" s="16"/>
      <c r="O1031" s="16"/>
    </row>
    <row r="1032" spans="1:15" x14ac:dyDescent="0.3">
      <c r="A1032" s="16">
        <v>1031</v>
      </c>
      <c r="B1032" s="16" t="s">
        <v>1641</v>
      </c>
      <c r="C1032" s="16" t="str">
        <f>"V6285630961001"</f>
        <v>V6285630961001</v>
      </c>
      <c r="D1032" s="16" t="s">
        <v>5132</v>
      </c>
      <c r="E1032" s="16" t="s">
        <v>5129</v>
      </c>
      <c r="F1032" s="21">
        <v>9781260452334</v>
      </c>
      <c r="G1032" s="16"/>
      <c r="H1032" s="16" t="s">
        <v>13</v>
      </c>
      <c r="I1032" s="16">
        <v>2021</v>
      </c>
      <c r="J1032" s="16" t="s">
        <v>5133</v>
      </c>
      <c r="K1032" s="16" t="s">
        <v>2605</v>
      </c>
      <c r="L1032" s="16" t="s">
        <v>15</v>
      </c>
      <c r="M1032" s="16" t="s">
        <v>5134</v>
      </c>
      <c r="N1032" s="16"/>
      <c r="O1032" s="16"/>
    </row>
    <row r="1033" spans="1:15" x14ac:dyDescent="0.3">
      <c r="A1033" s="16">
        <v>1032</v>
      </c>
      <c r="B1033" s="16" t="s">
        <v>1641</v>
      </c>
      <c r="C1033" s="16" t="str">
        <f>"V6285631162001"</f>
        <v>V6285631162001</v>
      </c>
      <c r="D1033" s="16" t="s">
        <v>5135</v>
      </c>
      <c r="E1033" s="16" t="s">
        <v>5129</v>
      </c>
      <c r="F1033" s="21">
        <v>9781260452334</v>
      </c>
      <c r="G1033" s="16"/>
      <c r="H1033" s="16" t="s">
        <v>13</v>
      </c>
      <c r="I1033" s="16">
        <v>2021</v>
      </c>
      <c r="J1033" s="16" t="s">
        <v>5136</v>
      </c>
      <c r="K1033" s="16" t="s">
        <v>2605</v>
      </c>
      <c r="L1033" s="16" t="s">
        <v>15</v>
      </c>
      <c r="M1033" s="16" t="s">
        <v>5137</v>
      </c>
      <c r="N1033" s="16"/>
      <c r="O1033" s="16"/>
    </row>
    <row r="1034" spans="1:15" x14ac:dyDescent="0.3">
      <c r="A1034" s="16">
        <v>1033</v>
      </c>
      <c r="B1034" s="16" t="s">
        <v>1641</v>
      </c>
      <c r="C1034" s="16" t="str">
        <f>"V6285631539001"</f>
        <v>V6285631539001</v>
      </c>
      <c r="D1034" s="16" t="s">
        <v>5138</v>
      </c>
      <c r="E1034" s="16" t="s">
        <v>5129</v>
      </c>
      <c r="F1034" s="21">
        <v>9781260452334</v>
      </c>
      <c r="G1034" s="16"/>
      <c r="H1034" s="16" t="s">
        <v>13</v>
      </c>
      <c r="I1034" s="16">
        <v>2021</v>
      </c>
      <c r="J1034" s="16" t="s">
        <v>5139</v>
      </c>
      <c r="K1034" s="16" t="s">
        <v>5140</v>
      </c>
      <c r="L1034" s="16" t="s">
        <v>15</v>
      </c>
      <c r="M1034" s="16" t="s">
        <v>5141</v>
      </c>
      <c r="N1034" s="16"/>
      <c r="O1034" s="16"/>
    </row>
    <row r="1035" spans="1:15" x14ac:dyDescent="0.3">
      <c r="A1035" s="16">
        <v>1034</v>
      </c>
      <c r="B1035" s="16" t="s">
        <v>1641</v>
      </c>
      <c r="C1035" s="16" t="str">
        <f>"V6285631632001"</f>
        <v>V6285631632001</v>
      </c>
      <c r="D1035" s="16" t="s">
        <v>5142</v>
      </c>
      <c r="E1035" s="16" t="s">
        <v>5129</v>
      </c>
      <c r="F1035" s="21">
        <v>9781260452334</v>
      </c>
      <c r="G1035" s="16"/>
      <c r="H1035" s="16" t="s">
        <v>13</v>
      </c>
      <c r="I1035" s="16">
        <v>2021</v>
      </c>
      <c r="J1035" s="16" t="s">
        <v>5143</v>
      </c>
      <c r="K1035" s="16" t="s">
        <v>2605</v>
      </c>
      <c r="L1035" s="16" t="s">
        <v>15</v>
      </c>
      <c r="M1035" s="16" t="s">
        <v>5144</v>
      </c>
      <c r="N1035" s="16"/>
      <c r="O1035" s="16"/>
    </row>
    <row r="1036" spans="1:15" x14ac:dyDescent="0.3">
      <c r="A1036" s="16">
        <v>1035</v>
      </c>
      <c r="B1036" s="16" t="s">
        <v>1641</v>
      </c>
      <c r="C1036" s="16" t="str">
        <f>"V6285631896001"</f>
        <v>V6285631896001</v>
      </c>
      <c r="D1036" s="16" t="s">
        <v>5145</v>
      </c>
      <c r="E1036" s="16" t="s">
        <v>5129</v>
      </c>
      <c r="F1036" s="21">
        <v>9781260452334</v>
      </c>
      <c r="G1036" s="16"/>
      <c r="H1036" s="16" t="s">
        <v>13</v>
      </c>
      <c r="I1036" s="16">
        <v>2021</v>
      </c>
      <c r="J1036" s="16" t="s">
        <v>5146</v>
      </c>
      <c r="K1036" s="16" t="s">
        <v>510</v>
      </c>
      <c r="L1036" s="16" t="s">
        <v>15</v>
      </c>
      <c r="M1036" s="16" t="s">
        <v>5147</v>
      </c>
      <c r="N1036" s="16"/>
      <c r="O1036" s="16"/>
    </row>
    <row r="1037" spans="1:15" x14ac:dyDescent="0.3">
      <c r="A1037" s="16">
        <v>1036</v>
      </c>
      <c r="B1037" s="16" t="s">
        <v>1641</v>
      </c>
      <c r="C1037" s="16" t="str">
        <f>"V6285632088001"</f>
        <v>V6285632088001</v>
      </c>
      <c r="D1037" s="16" t="s">
        <v>5148</v>
      </c>
      <c r="E1037" s="16" t="s">
        <v>5129</v>
      </c>
      <c r="F1037" s="21">
        <v>9781260452334</v>
      </c>
      <c r="G1037" s="16"/>
      <c r="H1037" s="16" t="s">
        <v>13</v>
      </c>
      <c r="I1037" s="16">
        <v>2021</v>
      </c>
      <c r="J1037" s="16" t="s">
        <v>5149</v>
      </c>
      <c r="K1037" s="16" t="s">
        <v>5150</v>
      </c>
      <c r="L1037" s="16" t="s">
        <v>15</v>
      </c>
      <c r="M1037" s="16" t="s">
        <v>5151</v>
      </c>
      <c r="N1037" s="16"/>
      <c r="O1037" s="16"/>
    </row>
    <row r="1038" spans="1:15" x14ac:dyDescent="0.3">
      <c r="A1038" s="16">
        <v>1037</v>
      </c>
      <c r="B1038" s="16" t="s">
        <v>1641</v>
      </c>
      <c r="C1038" s="16" t="str">
        <f>"V6285632089001"</f>
        <v>V6285632089001</v>
      </c>
      <c r="D1038" s="16" t="s">
        <v>5152</v>
      </c>
      <c r="E1038" s="16" t="s">
        <v>5129</v>
      </c>
      <c r="F1038" s="21">
        <v>9781260452334</v>
      </c>
      <c r="G1038" s="16"/>
      <c r="H1038" s="16" t="s">
        <v>13</v>
      </c>
      <c r="I1038" s="16">
        <v>2021</v>
      </c>
      <c r="J1038" s="16" t="s">
        <v>5153</v>
      </c>
      <c r="K1038" s="16" t="s">
        <v>1991</v>
      </c>
      <c r="L1038" s="16" t="s">
        <v>15</v>
      </c>
      <c r="M1038" s="16" t="s">
        <v>5154</v>
      </c>
      <c r="N1038" s="16"/>
      <c r="O1038" s="16"/>
    </row>
    <row r="1039" spans="1:15" x14ac:dyDescent="0.3">
      <c r="A1039" s="16">
        <v>1038</v>
      </c>
      <c r="B1039" s="16" t="s">
        <v>1641</v>
      </c>
      <c r="C1039" s="16" t="str">
        <f>"V6285632511001"</f>
        <v>V6285632511001</v>
      </c>
      <c r="D1039" s="16" t="s">
        <v>5155</v>
      </c>
      <c r="E1039" s="16" t="s">
        <v>5129</v>
      </c>
      <c r="F1039" s="21">
        <v>9781260452334</v>
      </c>
      <c r="G1039" s="16"/>
      <c r="H1039" s="16" t="s">
        <v>13</v>
      </c>
      <c r="I1039" s="16">
        <v>2021</v>
      </c>
      <c r="J1039" s="16" t="s">
        <v>5156</v>
      </c>
      <c r="K1039" s="16" t="s">
        <v>2605</v>
      </c>
      <c r="L1039" s="16" t="s">
        <v>15</v>
      </c>
      <c r="M1039" s="16" t="s">
        <v>5157</v>
      </c>
      <c r="N1039" s="16"/>
      <c r="O1039" s="16"/>
    </row>
    <row r="1040" spans="1:15" x14ac:dyDescent="0.3">
      <c r="A1040" s="16">
        <v>1039</v>
      </c>
      <c r="B1040" s="16" t="s">
        <v>1641</v>
      </c>
      <c r="C1040" s="16" t="str">
        <f>"V6285632512001"</f>
        <v>V6285632512001</v>
      </c>
      <c r="D1040" s="16" t="s">
        <v>5158</v>
      </c>
      <c r="E1040" s="16" t="s">
        <v>5129</v>
      </c>
      <c r="F1040" s="21">
        <v>9781260452334</v>
      </c>
      <c r="G1040" s="16"/>
      <c r="H1040" s="16" t="s">
        <v>13</v>
      </c>
      <c r="I1040" s="16">
        <v>2021</v>
      </c>
      <c r="J1040" s="16" t="s">
        <v>5159</v>
      </c>
      <c r="K1040" s="16" t="s">
        <v>158</v>
      </c>
      <c r="L1040" s="16" t="s">
        <v>15</v>
      </c>
      <c r="M1040" s="16" t="s">
        <v>5160</v>
      </c>
      <c r="N1040" s="16"/>
      <c r="O1040" s="16"/>
    </row>
    <row r="1041" spans="1:15" x14ac:dyDescent="0.3">
      <c r="A1041" s="16">
        <v>1040</v>
      </c>
      <c r="B1041" s="16" t="s">
        <v>1641</v>
      </c>
      <c r="C1041" s="16" t="str">
        <f>"V6295212624001"</f>
        <v>V6295212624001</v>
      </c>
      <c r="D1041" s="16" t="s">
        <v>5161</v>
      </c>
      <c r="E1041" s="16" t="s">
        <v>5162</v>
      </c>
      <c r="F1041" s="21">
        <v>9781260467475</v>
      </c>
      <c r="G1041" s="16" t="s">
        <v>5163</v>
      </c>
      <c r="H1041" s="16" t="s">
        <v>13</v>
      </c>
      <c r="I1041" s="16">
        <v>2022</v>
      </c>
      <c r="J1041" s="16" t="s">
        <v>5164</v>
      </c>
      <c r="K1041" s="16" t="s">
        <v>5165</v>
      </c>
      <c r="L1041" s="16" t="s">
        <v>15</v>
      </c>
      <c r="M1041" s="16" t="s">
        <v>5166</v>
      </c>
      <c r="N1041" s="16"/>
      <c r="O1041" s="16"/>
    </row>
    <row r="1042" spans="1:15" x14ac:dyDescent="0.3">
      <c r="A1042" s="16">
        <v>1041</v>
      </c>
      <c r="B1042" s="16" t="s">
        <v>1641</v>
      </c>
      <c r="C1042" s="16" t="str">
        <f>"V6295212625001"</f>
        <v>V6295212625001</v>
      </c>
      <c r="D1042" s="16" t="s">
        <v>5167</v>
      </c>
      <c r="E1042" s="16" t="s">
        <v>5162</v>
      </c>
      <c r="F1042" s="21">
        <v>9781260467475</v>
      </c>
      <c r="G1042" s="16" t="s">
        <v>5163</v>
      </c>
      <c r="H1042" s="16" t="s">
        <v>13</v>
      </c>
      <c r="I1042" s="16">
        <v>2022</v>
      </c>
      <c r="J1042" s="16" t="s">
        <v>5168</v>
      </c>
      <c r="K1042" s="16" t="s">
        <v>5169</v>
      </c>
      <c r="L1042" s="16" t="s">
        <v>15</v>
      </c>
      <c r="M1042" s="16" t="s">
        <v>5170</v>
      </c>
      <c r="N1042" s="16"/>
      <c r="O1042" s="16"/>
    </row>
    <row r="1043" spans="1:15" x14ac:dyDescent="0.3">
      <c r="A1043" s="16">
        <v>1042</v>
      </c>
      <c r="B1043" s="16" t="s">
        <v>1641</v>
      </c>
      <c r="C1043" s="16" t="str">
        <f>"V6295212626001"</f>
        <v>V6295212626001</v>
      </c>
      <c r="D1043" s="16" t="s">
        <v>5171</v>
      </c>
      <c r="E1043" s="16" t="s">
        <v>5162</v>
      </c>
      <c r="F1043" s="21">
        <v>9781260467475</v>
      </c>
      <c r="G1043" s="16" t="s">
        <v>5163</v>
      </c>
      <c r="H1043" s="16" t="s">
        <v>13</v>
      </c>
      <c r="I1043" s="16">
        <v>2022</v>
      </c>
      <c r="J1043" s="16" t="s">
        <v>5172</v>
      </c>
      <c r="K1043" s="16" t="s">
        <v>5173</v>
      </c>
      <c r="L1043" s="16" t="s">
        <v>15</v>
      </c>
      <c r="M1043" s="16" t="s">
        <v>5174</v>
      </c>
      <c r="N1043" s="16"/>
      <c r="O1043" s="16"/>
    </row>
    <row r="1044" spans="1:15" x14ac:dyDescent="0.3">
      <c r="A1044" s="16">
        <v>1043</v>
      </c>
      <c r="B1044" s="16" t="s">
        <v>1641</v>
      </c>
      <c r="C1044" s="16" t="str">
        <f>"V6295212933001"</f>
        <v>V6295212933001</v>
      </c>
      <c r="D1044" s="16" t="s">
        <v>5175</v>
      </c>
      <c r="E1044" s="16" t="s">
        <v>5162</v>
      </c>
      <c r="F1044" s="21">
        <v>9781260467475</v>
      </c>
      <c r="G1044" s="16" t="s">
        <v>5163</v>
      </c>
      <c r="H1044" s="16" t="s">
        <v>13</v>
      </c>
      <c r="I1044" s="16">
        <v>2022</v>
      </c>
      <c r="J1044" s="16" t="s">
        <v>5176</v>
      </c>
      <c r="K1044" s="16" t="s">
        <v>359</v>
      </c>
      <c r="L1044" s="16" t="s">
        <v>15</v>
      </c>
      <c r="M1044" s="16" t="s">
        <v>5177</v>
      </c>
      <c r="N1044" s="16"/>
      <c r="O1044" s="16"/>
    </row>
    <row r="1045" spans="1:15" x14ac:dyDescent="0.3">
      <c r="A1045" s="16">
        <v>1044</v>
      </c>
      <c r="B1045" s="16" t="s">
        <v>1641</v>
      </c>
      <c r="C1045" s="16" t="str">
        <f>"V6295212934001"</f>
        <v>V6295212934001</v>
      </c>
      <c r="D1045" s="16" t="s">
        <v>5178</v>
      </c>
      <c r="E1045" s="16" t="s">
        <v>5162</v>
      </c>
      <c r="F1045" s="21">
        <v>9781260467475</v>
      </c>
      <c r="G1045" s="16" t="s">
        <v>5163</v>
      </c>
      <c r="H1045" s="16" t="s">
        <v>13</v>
      </c>
      <c r="I1045" s="16">
        <v>2022</v>
      </c>
      <c r="J1045" s="16" t="s">
        <v>5179</v>
      </c>
      <c r="K1045" s="16" t="s">
        <v>5180</v>
      </c>
      <c r="L1045" s="16" t="s">
        <v>15</v>
      </c>
      <c r="M1045" s="16" t="s">
        <v>5181</v>
      </c>
      <c r="N1045" s="16"/>
      <c r="O1045" s="16"/>
    </row>
    <row r="1046" spans="1:15" x14ac:dyDescent="0.3">
      <c r="A1046" s="16">
        <v>1045</v>
      </c>
      <c r="B1046" s="16" t="s">
        <v>1641</v>
      </c>
      <c r="C1046" s="16" t="str">
        <f>"V6295212935001"</f>
        <v>V6295212935001</v>
      </c>
      <c r="D1046" s="16" t="s">
        <v>5182</v>
      </c>
      <c r="E1046" s="16" t="s">
        <v>5162</v>
      </c>
      <c r="F1046" s="21">
        <v>9781260467475</v>
      </c>
      <c r="G1046" s="16" t="s">
        <v>5163</v>
      </c>
      <c r="H1046" s="16" t="s">
        <v>13</v>
      </c>
      <c r="I1046" s="16">
        <v>2022</v>
      </c>
      <c r="J1046" s="16" t="s">
        <v>5183</v>
      </c>
      <c r="K1046" s="16" t="s">
        <v>25</v>
      </c>
      <c r="L1046" s="16" t="s">
        <v>15</v>
      </c>
      <c r="M1046" s="16" t="s">
        <v>5184</v>
      </c>
      <c r="N1046" s="16"/>
      <c r="O1046" s="16"/>
    </row>
    <row r="1047" spans="1:15" x14ac:dyDescent="0.3">
      <c r="A1047" s="16">
        <v>1046</v>
      </c>
      <c r="B1047" s="16" t="s">
        <v>1641</v>
      </c>
      <c r="C1047" s="16" t="str">
        <f>"V6295212936001"</f>
        <v>V6295212936001</v>
      </c>
      <c r="D1047" s="16" t="s">
        <v>5185</v>
      </c>
      <c r="E1047" s="16" t="s">
        <v>5162</v>
      </c>
      <c r="F1047" s="21">
        <v>9781260467475</v>
      </c>
      <c r="G1047" s="16" t="s">
        <v>5163</v>
      </c>
      <c r="H1047" s="16" t="s">
        <v>13</v>
      </c>
      <c r="I1047" s="16">
        <v>2022</v>
      </c>
      <c r="J1047" s="16" t="s">
        <v>5186</v>
      </c>
      <c r="K1047" s="16" t="s">
        <v>80</v>
      </c>
      <c r="L1047" s="16" t="s">
        <v>15</v>
      </c>
      <c r="M1047" s="16" t="s">
        <v>5187</v>
      </c>
      <c r="N1047" s="16"/>
      <c r="O1047" s="16"/>
    </row>
    <row r="1048" spans="1:15" x14ac:dyDescent="0.3">
      <c r="A1048" s="16">
        <v>1047</v>
      </c>
      <c r="B1048" s="16" t="s">
        <v>1641</v>
      </c>
      <c r="C1048" s="16" t="str">
        <f>"V6295212937001"</f>
        <v>V6295212937001</v>
      </c>
      <c r="D1048" s="16" t="s">
        <v>5188</v>
      </c>
      <c r="E1048" s="16" t="s">
        <v>5162</v>
      </c>
      <c r="F1048" s="21">
        <v>9781260467475</v>
      </c>
      <c r="G1048" s="16" t="s">
        <v>5163</v>
      </c>
      <c r="H1048" s="16" t="s">
        <v>13</v>
      </c>
      <c r="I1048" s="16">
        <v>2022</v>
      </c>
      <c r="J1048" s="16" t="s">
        <v>5189</v>
      </c>
      <c r="K1048" s="16" t="s">
        <v>5173</v>
      </c>
      <c r="L1048" s="16" t="s">
        <v>15</v>
      </c>
      <c r="M1048" s="16" t="s">
        <v>5190</v>
      </c>
      <c r="N1048" s="16"/>
      <c r="O1048" s="16"/>
    </row>
    <row r="1049" spans="1:15" x14ac:dyDescent="0.3">
      <c r="A1049" s="16">
        <v>1048</v>
      </c>
      <c r="B1049" s="16" t="s">
        <v>1641</v>
      </c>
      <c r="C1049" s="16" t="str">
        <f>"V6295212990001"</f>
        <v>V6295212990001</v>
      </c>
      <c r="D1049" s="16" t="s">
        <v>5191</v>
      </c>
      <c r="E1049" s="16" t="s">
        <v>5162</v>
      </c>
      <c r="F1049" s="21">
        <v>9781260467475</v>
      </c>
      <c r="G1049" s="16" t="s">
        <v>5163</v>
      </c>
      <c r="H1049" s="16" t="s">
        <v>13</v>
      </c>
      <c r="I1049" s="16">
        <v>2022</v>
      </c>
      <c r="J1049" s="16" t="s">
        <v>5192</v>
      </c>
      <c r="K1049" s="16" t="s">
        <v>1345</v>
      </c>
      <c r="L1049" s="16" t="s">
        <v>15</v>
      </c>
      <c r="M1049" s="16" t="s">
        <v>5193</v>
      </c>
      <c r="N1049" s="16"/>
      <c r="O1049" s="16"/>
    </row>
    <row r="1050" spans="1:15" x14ac:dyDescent="0.3">
      <c r="A1050" s="16">
        <v>1049</v>
      </c>
      <c r="B1050" s="16" t="s">
        <v>1641</v>
      </c>
      <c r="C1050" s="16" t="str">
        <f>"V6295212991001"</f>
        <v>V6295212991001</v>
      </c>
      <c r="D1050" s="16" t="s">
        <v>5194</v>
      </c>
      <c r="E1050" s="16" t="s">
        <v>5162</v>
      </c>
      <c r="F1050" s="21">
        <v>9781260467475</v>
      </c>
      <c r="G1050" s="16" t="s">
        <v>5163</v>
      </c>
      <c r="H1050" s="16" t="s">
        <v>13</v>
      </c>
      <c r="I1050" s="16">
        <v>2022</v>
      </c>
      <c r="J1050" s="16" t="s">
        <v>5195</v>
      </c>
      <c r="K1050" s="16" t="s">
        <v>80</v>
      </c>
      <c r="L1050" s="16" t="s">
        <v>15</v>
      </c>
      <c r="M1050" s="16" t="s">
        <v>5196</v>
      </c>
      <c r="N1050" s="16"/>
      <c r="O1050" s="16"/>
    </row>
    <row r="1051" spans="1:15" x14ac:dyDescent="0.3">
      <c r="A1051" s="16">
        <v>1050</v>
      </c>
      <c r="B1051" s="16" t="s">
        <v>1641</v>
      </c>
      <c r="C1051" s="16" t="str">
        <f>"V6295212992001"</f>
        <v>V6295212992001</v>
      </c>
      <c r="D1051" s="16" t="s">
        <v>5197</v>
      </c>
      <c r="E1051" s="16" t="s">
        <v>5162</v>
      </c>
      <c r="F1051" s="21">
        <v>9781260467475</v>
      </c>
      <c r="G1051" s="16" t="s">
        <v>5163</v>
      </c>
      <c r="H1051" s="16" t="s">
        <v>13</v>
      </c>
      <c r="I1051" s="16">
        <v>2022</v>
      </c>
      <c r="J1051" s="16" t="s">
        <v>5198</v>
      </c>
      <c r="K1051" s="16" t="s">
        <v>220</v>
      </c>
      <c r="L1051" s="16" t="s">
        <v>15</v>
      </c>
      <c r="M1051" s="16" t="s">
        <v>5199</v>
      </c>
      <c r="N1051" s="16"/>
      <c r="O1051" s="16"/>
    </row>
    <row r="1052" spans="1:15" x14ac:dyDescent="0.3">
      <c r="A1052" s="16">
        <v>1051</v>
      </c>
      <c r="B1052" s="16" t="s">
        <v>1641</v>
      </c>
      <c r="C1052" s="16" t="str">
        <f>"V6295212993001"</f>
        <v>V6295212993001</v>
      </c>
      <c r="D1052" s="16" t="s">
        <v>5200</v>
      </c>
      <c r="E1052" s="16" t="s">
        <v>5162</v>
      </c>
      <c r="F1052" s="21">
        <v>9781260467475</v>
      </c>
      <c r="G1052" s="16" t="s">
        <v>5163</v>
      </c>
      <c r="H1052" s="16" t="s">
        <v>13</v>
      </c>
      <c r="I1052" s="16">
        <v>2022</v>
      </c>
      <c r="J1052" s="16" t="s">
        <v>5201</v>
      </c>
      <c r="K1052" s="16" t="s">
        <v>5202</v>
      </c>
      <c r="L1052" s="16" t="s">
        <v>15</v>
      </c>
      <c r="M1052" s="16" t="s">
        <v>5203</v>
      </c>
      <c r="N1052" s="16"/>
      <c r="O1052" s="16"/>
    </row>
    <row r="1053" spans="1:15" x14ac:dyDescent="0.3">
      <c r="A1053" s="16">
        <v>1052</v>
      </c>
      <c r="B1053" s="16" t="s">
        <v>1641</v>
      </c>
      <c r="C1053" s="16" t="str">
        <f>"V6295213098001"</f>
        <v>V6295213098001</v>
      </c>
      <c r="D1053" s="16" t="s">
        <v>5204</v>
      </c>
      <c r="E1053" s="16" t="s">
        <v>5162</v>
      </c>
      <c r="F1053" s="21">
        <v>9781260467475</v>
      </c>
      <c r="G1053" s="16" t="s">
        <v>5163</v>
      </c>
      <c r="H1053" s="16" t="s">
        <v>13</v>
      </c>
      <c r="I1053" s="16">
        <v>2022</v>
      </c>
      <c r="J1053" s="16" t="s">
        <v>5205</v>
      </c>
      <c r="K1053" s="16" t="s">
        <v>5206</v>
      </c>
      <c r="L1053" s="16" t="s">
        <v>15</v>
      </c>
      <c r="M1053" s="16" t="s">
        <v>5207</v>
      </c>
      <c r="N1053" s="16"/>
      <c r="O1053" s="16"/>
    </row>
    <row r="1054" spans="1:15" x14ac:dyDescent="0.3">
      <c r="A1054" s="16">
        <v>1053</v>
      </c>
      <c r="B1054" s="16" t="s">
        <v>1641</v>
      </c>
      <c r="C1054" s="16" t="str">
        <f>"V6295213099001"</f>
        <v>V6295213099001</v>
      </c>
      <c r="D1054" s="16" t="s">
        <v>5208</v>
      </c>
      <c r="E1054" s="16" t="s">
        <v>5162</v>
      </c>
      <c r="F1054" s="21">
        <v>9781260467475</v>
      </c>
      <c r="G1054" s="16" t="s">
        <v>5163</v>
      </c>
      <c r="H1054" s="16" t="s">
        <v>13</v>
      </c>
      <c r="I1054" s="16">
        <v>2022</v>
      </c>
      <c r="J1054" s="16" t="s">
        <v>5209</v>
      </c>
      <c r="K1054" s="16" t="s">
        <v>5210</v>
      </c>
      <c r="L1054" s="16" t="s">
        <v>15</v>
      </c>
      <c r="M1054" s="16" t="s">
        <v>5211</v>
      </c>
      <c r="N1054" s="16"/>
      <c r="O1054" s="16"/>
    </row>
    <row r="1055" spans="1:15" x14ac:dyDescent="0.3">
      <c r="A1055" s="16">
        <v>1054</v>
      </c>
      <c r="B1055" s="16" t="s">
        <v>1641</v>
      </c>
      <c r="C1055" s="16" t="str">
        <f>"V6295214855001"</f>
        <v>V6295214855001</v>
      </c>
      <c r="D1055" s="16" t="s">
        <v>5212</v>
      </c>
      <c r="E1055" s="16" t="s">
        <v>5162</v>
      </c>
      <c r="F1055" s="21">
        <v>9781260467475</v>
      </c>
      <c r="G1055" s="16" t="s">
        <v>5163</v>
      </c>
      <c r="H1055" s="16" t="s">
        <v>13</v>
      </c>
      <c r="I1055" s="16">
        <v>2022</v>
      </c>
      <c r="J1055" s="16" t="s">
        <v>5213</v>
      </c>
      <c r="K1055" s="16" t="s">
        <v>5214</v>
      </c>
      <c r="L1055" s="16" t="s">
        <v>15</v>
      </c>
      <c r="M1055" s="16" t="s">
        <v>5215</v>
      </c>
      <c r="N1055" s="16"/>
      <c r="O1055" s="16"/>
    </row>
    <row r="1056" spans="1:15" x14ac:dyDescent="0.3">
      <c r="A1056" s="16">
        <v>1055</v>
      </c>
      <c r="B1056" s="16" t="s">
        <v>1641</v>
      </c>
      <c r="C1056" s="16" t="str">
        <f>"V6295214857001"</f>
        <v>V6295214857001</v>
      </c>
      <c r="D1056" s="16" t="s">
        <v>5216</v>
      </c>
      <c r="E1056" s="16" t="s">
        <v>5162</v>
      </c>
      <c r="F1056" s="21">
        <v>9781260467475</v>
      </c>
      <c r="G1056" s="16" t="s">
        <v>5163</v>
      </c>
      <c r="H1056" s="16" t="s">
        <v>13</v>
      </c>
      <c r="I1056" s="16">
        <v>2022</v>
      </c>
      <c r="J1056" s="16" t="s">
        <v>5217</v>
      </c>
      <c r="K1056" s="16" t="s">
        <v>5180</v>
      </c>
      <c r="L1056" s="16" t="s">
        <v>15</v>
      </c>
      <c r="M1056" s="16" t="s">
        <v>5218</v>
      </c>
      <c r="N1056" s="16"/>
      <c r="O1056" s="16"/>
    </row>
    <row r="1057" spans="1:15" x14ac:dyDescent="0.3">
      <c r="A1057" s="16">
        <v>1056</v>
      </c>
      <c r="B1057" s="16" t="s">
        <v>1641</v>
      </c>
      <c r="C1057" s="16" t="str">
        <f>"V6295214858001"</f>
        <v>V6295214858001</v>
      </c>
      <c r="D1057" s="16" t="s">
        <v>5219</v>
      </c>
      <c r="E1057" s="16" t="s">
        <v>5162</v>
      </c>
      <c r="F1057" s="21">
        <v>9781260467475</v>
      </c>
      <c r="G1057" s="16" t="s">
        <v>5163</v>
      </c>
      <c r="H1057" s="16" t="s">
        <v>13</v>
      </c>
      <c r="I1057" s="16">
        <v>2022</v>
      </c>
      <c r="J1057" s="16" t="s">
        <v>5220</v>
      </c>
      <c r="K1057" s="16" t="s">
        <v>5221</v>
      </c>
      <c r="L1057" s="16" t="s">
        <v>15</v>
      </c>
      <c r="M1057" s="16" t="s">
        <v>5222</v>
      </c>
      <c r="N1057" s="16"/>
      <c r="O1057" s="16"/>
    </row>
    <row r="1058" spans="1:15" x14ac:dyDescent="0.3">
      <c r="A1058" s="16">
        <v>1057</v>
      </c>
      <c r="B1058" s="16" t="s">
        <v>1641</v>
      </c>
      <c r="C1058" s="16" t="str">
        <f>"V6295215199001"</f>
        <v>V6295215199001</v>
      </c>
      <c r="D1058" s="16" t="s">
        <v>5223</v>
      </c>
      <c r="E1058" s="16" t="s">
        <v>5162</v>
      </c>
      <c r="F1058" s="21">
        <v>9781260467475</v>
      </c>
      <c r="G1058" s="16" t="s">
        <v>5163</v>
      </c>
      <c r="H1058" s="16" t="s">
        <v>13</v>
      </c>
      <c r="I1058" s="16">
        <v>2022</v>
      </c>
      <c r="J1058" s="16" t="s">
        <v>5224</v>
      </c>
      <c r="K1058" s="16" t="s">
        <v>5169</v>
      </c>
      <c r="L1058" s="16" t="s">
        <v>15</v>
      </c>
      <c r="M1058" s="16" t="s">
        <v>5225</v>
      </c>
      <c r="N1058" s="16"/>
      <c r="O1058" s="16"/>
    </row>
    <row r="1059" spans="1:15" x14ac:dyDescent="0.3">
      <c r="A1059" s="16">
        <v>1058</v>
      </c>
      <c r="B1059" s="16" t="s">
        <v>1641</v>
      </c>
      <c r="C1059" s="16" t="str">
        <f>"V6295215200001"</f>
        <v>V6295215200001</v>
      </c>
      <c r="D1059" s="16" t="s">
        <v>5226</v>
      </c>
      <c r="E1059" s="16" t="s">
        <v>5162</v>
      </c>
      <c r="F1059" s="21">
        <v>9781260467475</v>
      </c>
      <c r="G1059" s="16" t="s">
        <v>5163</v>
      </c>
      <c r="H1059" s="16" t="s">
        <v>13</v>
      </c>
      <c r="I1059" s="16">
        <v>2022</v>
      </c>
      <c r="J1059" s="16" t="s">
        <v>5227</v>
      </c>
      <c r="K1059" s="16" t="s">
        <v>1345</v>
      </c>
      <c r="L1059" s="16" t="s">
        <v>15</v>
      </c>
      <c r="M1059" s="16" t="s">
        <v>5228</v>
      </c>
      <c r="N1059" s="16"/>
      <c r="O1059" s="16"/>
    </row>
    <row r="1060" spans="1:15" x14ac:dyDescent="0.3">
      <c r="A1060" s="16">
        <v>1059</v>
      </c>
      <c r="B1060" s="16" t="s">
        <v>1641</v>
      </c>
      <c r="C1060" s="16" t="str">
        <f>"V6295215201001"</f>
        <v>V6295215201001</v>
      </c>
      <c r="D1060" s="16" t="s">
        <v>5229</v>
      </c>
      <c r="E1060" s="16" t="s">
        <v>5162</v>
      </c>
      <c r="F1060" s="21">
        <v>9781260467475</v>
      </c>
      <c r="G1060" s="16" t="s">
        <v>5163</v>
      </c>
      <c r="H1060" s="16" t="s">
        <v>13</v>
      </c>
      <c r="I1060" s="16">
        <v>2022</v>
      </c>
      <c r="J1060" s="16" t="s">
        <v>5230</v>
      </c>
      <c r="K1060" s="16" t="s">
        <v>5231</v>
      </c>
      <c r="L1060" s="16" t="s">
        <v>15</v>
      </c>
      <c r="M1060" s="16" t="s">
        <v>5232</v>
      </c>
      <c r="N1060" s="16"/>
      <c r="O1060" s="16"/>
    </row>
    <row r="1061" spans="1:15" x14ac:dyDescent="0.3">
      <c r="A1061" s="16">
        <v>1060</v>
      </c>
      <c r="B1061" s="16" t="s">
        <v>1641</v>
      </c>
      <c r="C1061" s="16" t="str">
        <f>"V6295215715001"</f>
        <v>V6295215715001</v>
      </c>
      <c r="D1061" s="16" t="s">
        <v>5233</v>
      </c>
      <c r="E1061" s="16" t="s">
        <v>5162</v>
      </c>
      <c r="F1061" s="21">
        <v>9781260467475</v>
      </c>
      <c r="G1061" s="16" t="s">
        <v>5163</v>
      </c>
      <c r="H1061" s="16" t="s">
        <v>13</v>
      </c>
      <c r="I1061" s="16">
        <v>2022</v>
      </c>
      <c r="J1061" s="16" t="s">
        <v>5234</v>
      </c>
      <c r="K1061" s="16" t="s">
        <v>1345</v>
      </c>
      <c r="L1061" s="16" t="s">
        <v>15</v>
      </c>
      <c r="M1061" s="16" t="s">
        <v>5235</v>
      </c>
      <c r="N1061" s="16"/>
      <c r="O1061" s="16"/>
    </row>
    <row r="1062" spans="1:15" x14ac:dyDescent="0.3">
      <c r="A1062" s="16">
        <v>1061</v>
      </c>
      <c r="B1062" s="16" t="s">
        <v>1641</v>
      </c>
      <c r="C1062" s="16" t="str">
        <f>"V6295215717001"</f>
        <v>V6295215717001</v>
      </c>
      <c r="D1062" s="16" t="s">
        <v>5236</v>
      </c>
      <c r="E1062" s="16" t="s">
        <v>5162</v>
      </c>
      <c r="F1062" s="21">
        <v>9781260467475</v>
      </c>
      <c r="G1062" s="16" t="s">
        <v>5163</v>
      </c>
      <c r="H1062" s="16" t="s">
        <v>13</v>
      </c>
      <c r="I1062" s="16">
        <v>2022</v>
      </c>
      <c r="J1062" s="16" t="s">
        <v>5237</v>
      </c>
      <c r="K1062" s="16" t="s">
        <v>1215</v>
      </c>
      <c r="L1062" s="16" t="s">
        <v>15</v>
      </c>
      <c r="M1062" s="16" t="s">
        <v>5238</v>
      </c>
      <c r="N1062" s="16"/>
      <c r="O1062" s="16"/>
    </row>
    <row r="1063" spans="1:15" x14ac:dyDescent="0.3">
      <c r="A1063" s="16">
        <v>1062</v>
      </c>
      <c r="B1063" s="16" t="s">
        <v>1641</v>
      </c>
      <c r="C1063" s="16" t="str">
        <f>"V6295215718001"</f>
        <v>V6295215718001</v>
      </c>
      <c r="D1063" s="16" t="s">
        <v>5239</v>
      </c>
      <c r="E1063" s="16" t="s">
        <v>5162</v>
      </c>
      <c r="F1063" s="21">
        <v>9781260467475</v>
      </c>
      <c r="G1063" s="16" t="s">
        <v>5163</v>
      </c>
      <c r="H1063" s="16" t="s">
        <v>13</v>
      </c>
      <c r="I1063" s="16">
        <v>2022</v>
      </c>
      <c r="J1063" s="16" t="s">
        <v>5240</v>
      </c>
      <c r="K1063" s="16" t="s">
        <v>172</v>
      </c>
      <c r="L1063" s="16" t="s">
        <v>15</v>
      </c>
      <c r="M1063" s="16" t="s">
        <v>5241</v>
      </c>
      <c r="N1063" s="16"/>
      <c r="O1063" s="16"/>
    </row>
    <row r="1064" spans="1:15" x14ac:dyDescent="0.3">
      <c r="A1064" s="16">
        <v>1063</v>
      </c>
      <c r="B1064" s="16" t="s">
        <v>1641</v>
      </c>
      <c r="C1064" s="16" t="str">
        <f>"V6295215794001"</f>
        <v>V6295215794001</v>
      </c>
      <c r="D1064" s="16" t="s">
        <v>5242</v>
      </c>
      <c r="E1064" s="16" t="s">
        <v>5162</v>
      </c>
      <c r="F1064" s="21">
        <v>9781260467475</v>
      </c>
      <c r="G1064" s="16" t="s">
        <v>5163</v>
      </c>
      <c r="H1064" s="16" t="s">
        <v>13</v>
      </c>
      <c r="I1064" s="16">
        <v>2022</v>
      </c>
      <c r="J1064" s="16" t="s">
        <v>5243</v>
      </c>
      <c r="K1064" s="16" t="s">
        <v>5244</v>
      </c>
      <c r="L1064" s="16" t="s">
        <v>15</v>
      </c>
      <c r="M1064" s="16" t="s">
        <v>5245</v>
      </c>
      <c r="N1064" s="16"/>
      <c r="O1064" s="16"/>
    </row>
    <row r="1065" spans="1:15" x14ac:dyDescent="0.3">
      <c r="A1065" s="16">
        <v>1064</v>
      </c>
      <c r="B1065" s="16" t="s">
        <v>1641</v>
      </c>
      <c r="C1065" s="16" t="str">
        <f>"V6295215795001"</f>
        <v>V6295215795001</v>
      </c>
      <c r="D1065" s="16" t="s">
        <v>5246</v>
      </c>
      <c r="E1065" s="16" t="s">
        <v>5162</v>
      </c>
      <c r="F1065" s="21">
        <v>9781260467475</v>
      </c>
      <c r="G1065" s="16" t="s">
        <v>5163</v>
      </c>
      <c r="H1065" s="16" t="s">
        <v>13</v>
      </c>
      <c r="I1065" s="16">
        <v>2022</v>
      </c>
      <c r="J1065" s="16" t="s">
        <v>5247</v>
      </c>
      <c r="K1065" s="16" t="s">
        <v>5248</v>
      </c>
      <c r="L1065" s="16" t="s">
        <v>15</v>
      </c>
      <c r="M1065" s="16" t="s">
        <v>5249</v>
      </c>
      <c r="N1065" s="16"/>
      <c r="O1065" s="16"/>
    </row>
    <row r="1066" spans="1:15" x14ac:dyDescent="0.3">
      <c r="A1066" s="16">
        <v>1065</v>
      </c>
      <c r="B1066" s="16" t="s">
        <v>1641</v>
      </c>
      <c r="C1066" s="16" t="str">
        <f>"V6295217622001"</f>
        <v>V6295217622001</v>
      </c>
      <c r="D1066" s="16" t="s">
        <v>5250</v>
      </c>
      <c r="E1066" s="16" t="s">
        <v>5162</v>
      </c>
      <c r="F1066" s="21">
        <v>9781260467475</v>
      </c>
      <c r="G1066" s="16" t="s">
        <v>5163</v>
      </c>
      <c r="H1066" s="16" t="s">
        <v>13</v>
      </c>
      <c r="I1066" s="16">
        <v>2022</v>
      </c>
      <c r="J1066" s="16" t="s">
        <v>5251</v>
      </c>
      <c r="K1066" s="16" t="s">
        <v>172</v>
      </c>
      <c r="L1066" s="16" t="s">
        <v>15</v>
      </c>
      <c r="M1066" s="16" t="s">
        <v>5252</v>
      </c>
      <c r="N1066" s="16"/>
      <c r="O1066" s="16"/>
    </row>
    <row r="1067" spans="1:15" x14ac:dyDescent="0.3">
      <c r="A1067" s="16">
        <v>1066</v>
      </c>
      <c r="B1067" s="16" t="s">
        <v>1641</v>
      </c>
      <c r="C1067" s="16" t="str">
        <f>"V6295217623001"</f>
        <v>V6295217623001</v>
      </c>
      <c r="D1067" s="16" t="s">
        <v>5253</v>
      </c>
      <c r="E1067" s="16" t="s">
        <v>5162</v>
      </c>
      <c r="F1067" s="21">
        <v>9781260467475</v>
      </c>
      <c r="G1067" s="16" t="s">
        <v>5163</v>
      </c>
      <c r="H1067" s="16" t="s">
        <v>13</v>
      </c>
      <c r="I1067" s="16">
        <v>2022</v>
      </c>
      <c r="J1067" s="16" t="s">
        <v>5179</v>
      </c>
      <c r="K1067" s="16" t="s">
        <v>5180</v>
      </c>
      <c r="L1067" s="16" t="s">
        <v>15</v>
      </c>
      <c r="M1067" s="16" t="s">
        <v>5254</v>
      </c>
      <c r="N1067" s="16"/>
      <c r="O1067" s="16"/>
    </row>
    <row r="1068" spans="1:15" x14ac:dyDescent="0.3">
      <c r="A1068" s="16">
        <v>1067</v>
      </c>
      <c r="B1068" s="16" t="s">
        <v>1641</v>
      </c>
      <c r="C1068" s="16" t="str">
        <f>"V6295217624001"</f>
        <v>V6295217624001</v>
      </c>
      <c r="D1068" s="16" t="s">
        <v>5255</v>
      </c>
      <c r="E1068" s="16" t="s">
        <v>5162</v>
      </c>
      <c r="F1068" s="21">
        <v>9781260467475</v>
      </c>
      <c r="G1068" s="16" t="s">
        <v>5163</v>
      </c>
      <c r="H1068" s="16" t="s">
        <v>13</v>
      </c>
      <c r="I1068" s="16">
        <v>2022</v>
      </c>
      <c r="J1068" s="16" t="s">
        <v>5256</v>
      </c>
      <c r="K1068" s="16" t="s">
        <v>1345</v>
      </c>
      <c r="L1068" s="16" t="s">
        <v>15</v>
      </c>
      <c r="M1068" s="16" t="s">
        <v>5257</v>
      </c>
      <c r="N1068" s="16"/>
      <c r="O1068" s="16"/>
    </row>
    <row r="1069" spans="1:15" x14ac:dyDescent="0.3">
      <c r="A1069" s="16">
        <v>1068</v>
      </c>
      <c r="B1069" s="16" t="s">
        <v>1641</v>
      </c>
      <c r="C1069" s="16" t="str">
        <f>"V6298097373001"</f>
        <v>V6298097373001</v>
      </c>
      <c r="D1069" s="16" t="s">
        <v>5258</v>
      </c>
      <c r="E1069" s="16" t="s">
        <v>425</v>
      </c>
      <c r="F1069" s="21">
        <v>9781264258802</v>
      </c>
      <c r="G1069" s="16" t="s">
        <v>5259</v>
      </c>
      <c r="H1069" s="16" t="s">
        <v>13</v>
      </c>
      <c r="I1069" s="16">
        <v>2022</v>
      </c>
      <c r="J1069" s="16" t="s">
        <v>427</v>
      </c>
      <c r="K1069" s="16" t="s">
        <v>48</v>
      </c>
      <c r="L1069" s="16" t="s">
        <v>15</v>
      </c>
      <c r="M1069" s="16" t="s">
        <v>5260</v>
      </c>
      <c r="N1069" s="16"/>
      <c r="O1069" s="16"/>
    </row>
    <row r="1070" spans="1:15" x14ac:dyDescent="0.3">
      <c r="A1070" s="16">
        <v>1069</v>
      </c>
      <c r="B1070" s="16" t="s">
        <v>1641</v>
      </c>
      <c r="C1070" s="16" t="str">
        <f>"V6298099798001"</f>
        <v>V6298099798001</v>
      </c>
      <c r="D1070" s="16" t="s">
        <v>5261</v>
      </c>
      <c r="E1070" s="16" t="s">
        <v>425</v>
      </c>
      <c r="F1070" s="21">
        <v>9781264258802</v>
      </c>
      <c r="G1070" s="16" t="s">
        <v>5259</v>
      </c>
      <c r="H1070" s="16" t="s">
        <v>13</v>
      </c>
      <c r="I1070" s="16">
        <v>2022</v>
      </c>
      <c r="J1070" s="16" t="s">
        <v>5262</v>
      </c>
      <c r="K1070" s="16" t="s">
        <v>48</v>
      </c>
      <c r="L1070" s="16" t="s">
        <v>15</v>
      </c>
      <c r="M1070" s="16" t="s">
        <v>5263</v>
      </c>
      <c r="N1070" s="16"/>
      <c r="O1070" s="16"/>
    </row>
    <row r="1071" spans="1:15" x14ac:dyDescent="0.3">
      <c r="A1071" s="16">
        <v>1070</v>
      </c>
      <c r="B1071" s="16" t="s">
        <v>1641</v>
      </c>
      <c r="C1071" s="16" t="str">
        <f>"V6298099945001"</f>
        <v>V6298099945001</v>
      </c>
      <c r="D1071" s="16" t="s">
        <v>5264</v>
      </c>
      <c r="E1071" s="16" t="s">
        <v>425</v>
      </c>
      <c r="F1071" s="21">
        <v>9781264258802</v>
      </c>
      <c r="G1071" s="16" t="s">
        <v>5259</v>
      </c>
      <c r="H1071" s="16" t="s">
        <v>13</v>
      </c>
      <c r="I1071" s="16">
        <v>2022</v>
      </c>
      <c r="J1071" s="16" t="s">
        <v>5265</v>
      </c>
      <c r="K1071" s="16" t="s">
        <v>4952</v>
      </c>
      <c r="L1071" s="16" t="s">
        <v>15</v>
      </c>
      <c r="M1071" s="16" t="s">
        <v>5266</v>
      </c>
      <c r="N1071" s="16"/>
      <c r="O1071" s="16"/>
    </row>
    <row r="1072" spans="1:15" x14ac:dyDescent="0.3">
      <c r="A1072" s="16">
        <v>1071</v>
      </c>
      <c r="B1072" s="16" t="s">
        <v>1641</v>
      </c>
      <c r="C1072" s="16" t="str">
        <f>"V6298501958001"</f>
        <v>V6298501958001</v>
      </c>
      <c r="D1072" s="16" t="s">
        <v>5267</v>
      </c>
      <c r="E1072" s="16" t="s">
        <v>425</v>
      </c>
      <c r="F1072" s="21">
        <v>9781264258802</v>
      </c>
      <c r="G1072" s="16" t="s">
        <v>5259</v>
      </c>
      <c r="H1072" s="16" t="s">
        <v>13</v>
      </c>
      <c r="I1072" s="16">
        <v>2022</v>
      </c>
      <c r="J1072" s="16" t="s">
        <v>5268</v>
      </c>
      <c r="K1072" s="16" t="s">
        <v>3882</v>
      </c>
      <c r="L1072" s="16" t="s">
        <v>15</v>
      </c>
      <c r="M1072" s="16" t="s">
        <v>5269</v>
      </c>
      <c r="N1072" s="16"/>
      <c r="O1072" s="16"/>
    </row>
    <row r="1073" spans="1:15" x14ac:dyDescent="0.3">
      <c r="A1073" s="16">
        <v>1072</v>
      </c>
      <c r="B1073" s="16" t="s">
        <v>1641</v>
      </c>
      <c r="C1073" s="16" t="str">
        <f>"V6298502077001"</f>
        <v>V6298502077001</v>
      </c>
      <c r="D1073" s="16" t="s">
        <v>5270</v>
      </c>
      <c r="E1073" s="16" t="s">
        <v>425</v>
      </c>
      <c r="F1073" s="21">
        <v>9781264258802</v>
      </c>
      <c r="G1073" s="16" t="s">
        <v>5259</v>
      </c>
      <c r="H1073" s="16" t="s">
        <v>13</v>
      </c>
      <c r="I1073" s="16">
        <v>2022</v>
      </c>
      <c r="J1073" s="16" t="s">
        <v>427</v>
      </c>
      <c r="K1073" s="16" t="s">
        <v>48</v>
      </c>
      <c r="L1073" s="16" t="s">
        <v>15</v>
      </c>
      <c r="M1073" s="16" t="s">
        <v>5271</v>
      </c>
      <c r="N1073" s="16"/>
      <c r="O1073" s="16"/>
    </row>
    <row r="1074" spans="1:15" x14ac:dyDescent="0.3">
      <c r="A1074" s="16">
        <v>1073</v>
      </c>
      <c r="B1074" s="16" t="s">
        <v>1641</v>
      </c>
      <c r="C1074" s="16" t="str">
        <f>"V6298502078001"</f>
        <v>V6298502078001</v>
      </c>
      <c r="D1074" s="16" t="s">
        <v>5272</v>
      </c>
      <c r="E1074" s="16" t="s">
        <v>425</v>
      </c>
      <c r="F1074" s="21">
        <v>9781264258802</v>
      </c>
      <c r="G1074" s="16" t="s">
        <v>5259</v>
      </c>
      <c r="H1074" s="16" t="s">
        <v>13</v>
      </c>
      <c r="I1074" s="16">
        <v>2022</v>
      </c>
      <c r="J1074" s="16" t="s">
        <v>427</v>
      </c>
      <c r="K1074" s="16" t="s">
        <v>48</v>
      </c>
      <c r="L1074" s="16" t="s">
        <v>15</v>
      </c>
      <c r="M1074" s="16" t="s">
        <v>5273</v>
      </c>
      <c r="N1074" s="16"/>
      <c r="O1074" s="16"/>
    </row>
    <row r="1075" spans="1:15" x14ac:dyDescent="0.3">
      <c r="A1075" s="16">
        <v>1074</v>
      </c>
      <c r="B1075" s="16" t="s">
        <v>1641</v>
      </c>
      <c r="C1075" s="16" t="str">
        <f>"V6298502184001"</f>
        <v>V6298502184001</v>
      </c>
      <c r="D1075" s="16" t="s">
        <v>5274</v>
      </c>
      <c r="E1075" s="16" t="s">
        <v>425</v>
      </c>
      <c r="F1075" s="21">
        <v>9781264258802</v>
      </c>
      <c r="G1075" s="16" t="s">
        <v>5259</v>
      </c>
      <c r="H1075" s="16" t="s">
        <v>13</v>
      </c>
      <c r="I1075" s="16">
        <v>2022</v>
      </c>
      <c r="J1075" s="16" t="s">
        <v>5275</v>
      </c>
      <c r="K1075" s="16" t="s">
        <v>2283</v>
      </c>
      <c r="L1075" s="16" t="s">
        <v>15</v>
      </c>
      <c r="M1075" s="16" t="s">
        <v>5276</v>
      </c>
      <c r="N1075" s="16"/>
      <c r="O1075" s="16"/>
    </row>
    <row r="1076" spans="1:15" x14ac:dyDescent="0.3">
      <c r="A1076" s="16">
        <v>1075</v>
      </c>
      <c r="B1076" s="16" t="s">
        <v>1641</v>
      </c>
      <c r="C1076" s="16" t="str">
        <f>"V6298502225001"</f>
        <v>V6298502225001</v>
      </c>
      <c r="D1076" s="16" t="s">
        <v>5277</v>
      </c>
      <c r="E1076" s="16" t="s">
        <v>425</v>
      </c>
      <c r="F1076" s="21">
        <v>9781264258802</v>
      </c>
      <c r="G1076" s="16" t="s">
        <v>5259</v>
      </c>
      <c r="H1076" s="16" t="s">
        <v>13</v>
      </c>
      <c r="I1076" s="16">
        <v>2022</v>
      </c>
      <c r="J1076" s="16" t="s">
        <v>5278</v>
      </c>
      <c r="K1076" s="16" t="s">
        <v>48</v>
      </c>
      <c r="L1076" s="16" t="s">
        <v>15</v>
      </c>
      <c r="M1076" s="16" t="s">
        <v>5279</v>
      </c>
      <c r="N1076" s="16"/>
      <c r="O1076" s="16"/>
    </row>
    <row r="1077" spans="1:15" x14ac:dyDescent="0.3">
      <c r="A1077" s="16">
        <v>1076</v>
      </c>
      <c r="B1077" s="16" t="s">
        <v>1641</v>
      </c>
      <c r="C1077" s="16" t="str">
        <f>"V6298502317001"</f>
        <v>V6298502317001</v>
      </c>
      <c r="D1077" s="16" t="s">
        <v>5280</v>
      </c>
      <c r="E1077" s="16" t="s">
        <v>425</v>
      </c>
      <c r="F1077" s="21">
        <v>9781264258802</v>
      </c>
      <c r="G1077" s="16" t="s">
        <v>5259</v>
      </c>
      <c r="H1077" s="16" t="s">
        <v>13</v>
      </c>
      <c r="I1077" s="16">
        <v>2022</v>
      </c>
      <c r="J1077" s="16" t="s">
        <v>5281</v>
      </c>
      <c r="K1077" s="16" t="s">
        <v>3951</v>
      </c>
      <c r="L1077" s="16" t="s">
        <v>15</v>
      </c>
      <c r="M1077" s="16" t="s">
        <v>5282</v>
      </c>
      <c r="N1077" s="16"/>
      <c r="O1077" s="16"/>
    </row>
    <row r="1078" spans="1:15" x14ac:dyDescent="0.3">
      <c r="A1078" s="16">
        <v>1077</v>
      </c>
      <c r="B1078" s="16" t="s">
        <v>1641</v>
      </c>
      <c r="C1078" s="16" t="str">
        <f>"V6298502318001"</f>
        <v>V6298502318001</v>
      </c>
      <c r="D1078" s="16" t="s">
        <v>5283</v>
      </c>
      <c r="E1078" s="16" t="s">
        <v>425</v>
      </c>
      <c r="F1078" s="21">
        <v>9781264258802</v>
      </c>
      <c r="G1078" s="16" t="s">
        <v>5259</v>
      </c>
      <c r="H1078" s="16" t="s">
        <v>13</v>
      </c>
      <c r="I1078" s="16">
        <v>2022</v>
      </c>
      <c r="J1078" s="16" t="s">
        <v>427</v>
      </c>
      <c r="K1078" s="16" t="s">
        <v>48</v>
      </c>
      <c r="L1078" s="16" t="s">
        <v>15</v>
      </c>
      <c r="M1078" s="16" t="s">
        <v>5284</v>
      </c>
      <c r="N1078" s="16"/>
      <c r="O1078" s="16"/>
    </row>
    <row r="1079" spans="1:15" x14ac:dyDescent="0.3">
      <c r="A1079" s="16">
        <v>1078</v>
      </c>
      <c r="B1079" s="16" t="s">
        <v>1641</v>
      </c>
      <c r="C1079" s="16" t="str">
        <f>"V6298502319001"</f>
        <v>V6298502319001</v>
      </c>
      <c r="D1079" s="16" t="s">
        <v>5285</v>
      </c>
      <c r="E1079" s="16" t="s">
        <v>425</v>
      </c>
      <c r="F1079" s="21">
        <v>9781264258802</v>
      </c>
      <c r="G1079" s="16" t="s">
        <v>5259</v>
      </c>
      <c r="H1079" s="16" t="s">
        <v>13</v>
      </c>
      <c r="I1079" s="16">
        <v>2022</v>
      </c>
      <c r="J1079" s="16" t="s">
        <v>5286</v>
      </c>
      <c r="K1079" s="16" t="s">
        <v>48</v>
      </c>
      <c r="L1079" s="16" t="s">
        <v>15</v>
      </c>
      <c r="M1079" s="16" t="s">
        <v>5287</v>
      </c>
      <c r="N1079" s="16"/>
      <c r="O1079" s="16"/>
    </row>
    <row r="1080" spans="1:15" x14ac:dyDescent="0.3">
      <c r="A1080" s="16">
        <v>1079</v>
      </c>
      <c r="B1080" s="16" t="s">
        <v>1641</v>
      </c>
      <c r="C1080" s="16" t="str">
        <f>"V6298504008001"</f>
        <v>V6298504008001</v>
      </c>
      <c r="D1080" s="16" t="s">
        <v>5288</v>
      </c>
      <c r="E1080" s="16" t="s">
        <v>425</v>
      </c>
      <c r="F1080" s="21">
        <v>9781264258802</v>
      </c>
      <c r="G1080" s="16" t="s">
        <v>5259</v>
      </c>
      <c r="H1080" s="16" t="s">
        <v>13</v>
      </c>
      <c r="I1080" s="16">
        <v>2022</v>
      </c>
      <c r="J1080" s="16" t="s">
        <v>427</v>
      </c>
      <c r="K1080" s="16" t="s">
        <v>48</v>
      </c>
      <c r="L1080" s="16" t="s">
        <v>15</v>
      </c>
      <c r="M1080" s="16" t="s">
        <v>5289</v>
      </c>
      <c r="N1080" s="16"/>
      <c r="O1080" s="16"/>
    </row>
    <row r="1081" spans="1:15" x14ac:dyDescent="0.3">
      <c r="A1081" s="16">
        <v>1080</v>
      </c>
      <c r="B1081" s="16" t="s">
        <v>1641</v>
      </c>
      <c r="C1081" s="16" t="str">
        <f>"V6298504009001"</f>
        <v>V6298504009001</v>
      </c>
      <c r="D1081" s="16" t="s">
        <v>5290</v>
      </c>
      <c r="E1081" s="16" t="s">
        <v>425</v>
      </c>
      <c r="F1081" s="21">
        <v>9781264258802</v>
      </c>
      <c r="G1081" s="16" t="s">
        <v>5259</v>
      </c>
      <c r="H1081" s="16" t="s">
        <v>13</v>
      </c>
      <c r="I1081" s="16">
        <v>2022</v>
      </c>
      <c r="J1081" s="16" t="s">
        <v>5291</v>
      </c>
      <c r="K1081" s="16" t="s">
        <v>712</v>
      </c>
      <c r="L1081" s="16" t="s">
        <v>15</v>
      </c>
      <c r="M1081" s="16" t="s">
        <v>5292</v>
      </c>
      <c r="N1081" s="16"/>
      <c r="O1081" s="16"/>
    </row>
    <row r="1082" spans="1:15" x14ac:dyDescent="0.3">
      <c r="A1082" s="16">
        <v>1081</v>
      </c>
      <c r="B1082" s="16" t="s">
        <v>1641</v>
      </c>
      <c r="C1082" s="16" t="str">
        <f>"V6298504202001"</f>
        <v>V6298504202001</v>
      </c>
      <c r="D1082" s="16" t="s">
        <v>5293</v>
      </c>
      <c r="E1082" s="16" t="s">
        <v>425</v>
      </c>
      <c r="F1082" s="21">
        <v>9781264258802</v>
      </c>
      <c r="G1082" s="16" t="s">
        <v>5259</v>
      </c>
      <c r="H1082" s="16" t="s">
        <v>13</v>
      </c>
      <c r="I1082" s="16">
        <v>2022</v>
      </c>
      <c r="J1082" s="16" t="s">
        <v>427</v>
      </c>
      <c r="K1082" s="16" t="s">
        <v>48</v>
      </c>
      <c r="L1082" s="16" t="s">
        <v>15</v>
      </c>
      <c r="M1082" s="16" t="s">
        <v>5294</v>
      </c>
      <c r="N1082" s="16"/>
      <c r="O1082" s="16"/>
    </row>
    <row r="1083" spans="1:15" x14ac:dyDescent="0.3">
      <c r="A1083" s="16">
        <v>1082</v>
      </c>
      <c r="B1083" s="16" t="s">
        <v>1641</v>
      </c>
      <c r="C1083" s="16" t="str">
        <f>"V6298504203001"</f>
        <v>V6298504203001</v>
      </c>
      <c r="D1083" s="16" t="s">
        <v>5295</v>
      </c>
      <c r="E1083" s="16" t="s">
        <v>425</v>
      </c>
      <c r="F1083" s="21">
        <v>9781264258802</v>
      </c>
      <c r="G1083" s="16" t="s">
        <v>5259</v>
      </c>
      <c r="H1083" s="16" t="s">
        <v>13</v>
      </c>
      <c r="I1083" s="16">
        <v>2022</v>
      </c>
      <c r="J1083" s="16" t="s">
        <v>5296</v>
      </c>
      <c r="K1083" s="16" t="s">
        <v>5297</v>
      </c>
      <c r="L1083" s="16" t="s">
        <v>15</v>
      </c>
      <c r="M1083" s="16" t="s">
        <v>5298</v>
      </c>
      <c r="N1083" s="16"/>
      <c r="O1083" s="16"/>
    </row>
    <row r="1084" spans="1:15" x14ac:dyDescent="0.3">
      <c r="A1084" s="16">
        <v>1083</v>
      </c>
      <c r="B1084" s="16" t="s">
        <v>1641</v>
      </c>
      <c r="C1084" s="16" t="str">
        <f>"V6298504290001"</f>
        <v>V6298504290001</v>
      </c>
      <c r="D1084" s="16" t="s">
        <v>5299</v>
      </c>
      <c r="E1084" s="16" t="s">
        <v>425</v>
      </c>
      <c r="F1084" s="21">
        <v>9781264258802</v>
      </c>
      <c r="G1084" s="16" t="s">
        <v>5259</v>
      </c>
      <c r="H1084" s="16" t="s">
        <v>13</v>
      </c>
      <c r="I1084" s="16">
        <v>2022</v>
      </c>
      <c r="J1084" s="16" t="s">
        <v>5300</v>
      </c>
      <c r="K1084" s="16" t="s">
        <v>48</v>
      </c>
      <c r="L1084" s="16" t="s">
        <v>15</v>
      </c>
      <c r="M1084" s="16" t="s">
        <v>5301</v>
      </c>
      <c r="N1084" s="16"/>
      <c r="O1084" s="16"/>
    </row>
    <row r="1085" spans="1:15" x14ac:dyDescent="0.3">
      <c r="A1085" s="16">
        <v>1084</v>
      </c>
      <c r="B1085" s="16" t="s">
        <v>1641</v>
      </c>
      <c r="C1085" s="16" t="str">
        <f>"V6298504363001"</f>
        <v>V6298504363001</v>
      </c>
      <c r="D1085" s="16" t="s">
        <v>5302</v>
      </c>
      <c r="E1085" s="16" t="s">
        <v>425</v>
      </c>
      <c r="F1085" s="21">
        <v>9781264258802</v>
      </c>
      <c r="G1085" s="16" t="s">
        <v>5259</v>
      </c>
      <c r="H1085" s="16" t="s">
        <v>13</v>
      </c>
      <c r="I1085" s="16">
        <v>2022</v>
      </c>
      <c r="J1085" s="16" t="s">
        <v>427</v>
      </c>
      <c r="K1085" s="16" t="s">
        <v>48</v>
      </c>
      <c r="L1085" s="16" t="s">
        <v>15</v>
      </c>
      <c r="M1085" s="16" t="s">
        <v>5303</v>
      </c>
      <c r="N1085" s="16"/>
      <c r="O1085" s="16"/>
    </row>
    <row r="1086" spans="1:15" x14ac:dyDescent="0.3">
      <c r="A1086" s="16">
        <v>1085</v>
      </c>
      <c r="B1086" s="16" t="s">
        <v>1641</v>
      </c>
      <c r="C1086" s="16" t="str">
        <f>"V6298504364001"</f>
        <v>V6298504364001</v>
      </c>
      <c r="D1086" s="16" t="s">
        <v>5304</v>
      </c>
      <c r="E1086" s="16" t="s">
        <v>425</v>
      </c>
      <c r="F1086" s="21">
        <v>9781264258802</v>
      </c>
      <c r="G1086" s="16" t="s">
        <v>5259</v>
      </c>
      <c r="H1086" s="16" t="s">
        <v>13</v>
      </c>
      <c r="I1086" s="16">
        <v>2022</v>
      </c>
      <c r="J1086" s="16" t="s">
        <v>427</v>
      </c>
      <c r="K1086" s="16" t="s">
        <v>48</v>
      </c>
      <c r="L1086" s="16" t="s">
        <v>15</v>
      </c>
      <c r="M1086" s="16" t="s">
        <v>5305</v>
      </c>
      <c r="N1086" s="16"/>
      <c r="O1086" s="16"/>
    </row>
    <row r="1087" spans="1:15" x14ac:dyDescent="0.3">
      <c r="A1087" s="16">
        <v>1086</v>
      </c>
      <c r="B1087" s="16" t="s">
        <v>1641</v>
      </c>
      <c r="C1087" s="16" t="str">
        <f>"V6299180255001"</f>
        <v>V6299180255001</v>
      </c>
      <c r="D1087" s="16" t="s">
        <v>5306</v>
      </c>
      <c r="E1087" s="16" t="s">
        <v>425</v>
      </c>
      <c r="F1087" s="21">
        <v>9781264258802</v>
      </c>
      <c r="G1087" s="16" t="s">
        <v>5259</v>
      </c>
      <c r="H1087" s="16" t="s">
        <v>13</v>
      </c>
      <c r="I1087" s="16">
        <v>2022</v>
      </c>
      <c r="J1087" s="16" t="s">
        <v>427</v>
      </c>
      <c r="K1087" s="16" t="s">
        <v>48</v>
      </c>
      <c r="L1087" s="16" t="s">
        <v>15</v>
      </c>
      <c r="M1087" s="16" t="s">
        <v>5307</v>
      </c>
      <c r="N1087" s="16"/>
      <c r="O1087" s="16"/>
    </row>
    <row r="1088" spans="1:15" x14ac:dyDescent="0.3">
      <c r="A1088" s="16">
        <v>1087</v>
      </c>
      <c r="B1088" s="16" t="s">
        <v>1641</v>
      </c>
      <c r="C1088" s="16" t="str">
        <f>"V6299182607001"</f>
        <v>V6299182607001</v>
      </c>
      <c r="D1088" s="16" t="s">
        <v>5308</v>
      </c>
      <c r="E1088" s="16" t="s">
        <v>425</v>
      </c>
      <c r="F1088" s="21">
        <v>9781264258802</v>
      </c>
      <c r="G1088" s="16" t="s">
        <v>5259</v>
      </c>
      <c r="H1088" s="16" t="s">
        <v>13</v>
      </c>
      <c r="I1088" s="16">
        <v>2022</v>
      </c>
      <c r="J1088" s="16" t="s">
        <v>427</v>
      </c>
      <c r="K1088" s="16" t="s">
        <v>48</v>
      </c>
      <c r="L1088" s="16" t="s">
        <v>15</v>
      </c>
      <c r="M1088" s="16" t="s">
        <v>5309</v>
      </c>
      <c r="N1088" s="16"/>
      <c r="O1088" s="16"/>
    </row>
    <row r="1089" spans="1:15" x14ac:dyDescent="0.3">
      <c r="A1089" s="16">
        <v>1088</v>
      </c>
      <c r="B1089" s="16" t="s">
        <v>1641</v>
      </c>
      <c r="C1089" s="16" t="str">
        <f>"V6311597510112"</f>
        <v>V6311597510112</v>
      </c>
      <c r="D1089" s="16" t="s">
        <v>5310</v>
      </c>
      <c r="E1089" s="16" t="s">
        <v>1282</v>
      </c>
      <c r="F1089" s="21">
        <v>9781259861901</v>
      </c>
      <c r="G1089" s="16" t="s">
        <v>5311</v>
      </c>
      <c r="H1089" s="16" t="s">
        <v>13</v>
      </c>
      <c r="I1089" s="16">
        <v>2022</v>
      </c>
      <c r="J1089" s="16" t="s">
        <v>5312</v>
      </c>
      <c r="K1089" s="16" t="s">
        <v>2289</v>
      </c>
      <c r="L1089" s="16" t="s">
        <v>15</v>
      </c>
      <c r="M1089" s="16" t="s">
        <v>5313</v>
      </c>
      <c r="N1089" s="16"/>
      <c r="O1089" s="16"/>
    </row>
    <row r="1090" spans="1:15" x14ac:dyDescent="0.3">
      <c r="A1090" s="16">
        <v>1089</v>
      </c>
      <c r="B1090" s="16" t="s">
        <v>1641</v>
      </c>
      <c r="C1090" s="16" t="str">
        <f>"V6311598005112"</f>
        <v>V6311598005112</v>
      </c>
      <c r="D1090" s="16" t="s">
        <v>5314</v>
      </c>
      <c r="E1090" s="16" t="s">
        <v>1282</v>
      </c>
      <c r="F1090" s="21">
        <v>9781259861901</v>
      </c>
      <c r="G1090" s="16" t="s">
        <v>5311</v>
      </c>
      <c r="H1090" s="16" t="s">
        <v>13</v>
      </c>
      <c r="I1090" s="16">
        <v>2022</v>
      </c>
      <c r="J1090" s="16" t="s">
        <v>5315</v>
      </c>
      <c r="K1090" s="16" t="s">
        <v>5316</v>
      </c>
      <c r="L1090" s="16" t="s">
        <v>15</v>
      </c>
      <c r="M1090" s="16" t="s">
        <v>5317</v>
      </c>
      <c r="N1090" s="16"/>
      <c r="O1090" s="16"/>
    </row>
    <row r="1091" spans="1:15" x14ac:dyDescent="0.3">
      <c r="A1091" s="16">
        <v>1090</v>
      </c>
      <c r="B1091" s="16" t="s">
        <v>1641</v>
      </c>
      <c r="C1091" s="16" t="str">
        <f>"V6311598799112"</f>
        <v>V6311598799112</v>
      </c>
      <c r="D1091" s="16" t="s">
        <v>5318</v>
      </c>
      <c r="E1091" s="16" t="s">
        <v>1282</v>
      </c>
      <c r="F1091" s="21">
        <v>9781259861901</v>
      </c>
      <c r="G1091" s="16" t="s">
        <v>5311</v>
      </c>
      <c r="H1091" s="16" t="s">
        <v>13</v>
      </c>
      <c r="I1091" s="16">
        <v>2022</v>
      </c>
      <c r="J1091" s="16" t="s">
        <v>5319</v>
      </c>
      <c r="K1091" s="16" t="s">
        <v>5320</v>
      </c>
      <c r="L1091" s="16" t="s">
        <v>15</v>
      </c>
      <c r="M1091" s="16" t="s">
        <v>5321</v>
      </c>
      <c r="N1091" s="16"/>
      <c r="O1091" s="16"/>
    </row>
    <row r="1092" spans="1:15" x14ac:dyDescent="0.3">
      <c r="A1092" s="16">
        <v>1091</v>
      </c>
      <c r="B1092" s="16" t="s">
        <v>1641</v>
      </c>
      <c r="C1092" s="16" t="str">
        <f>"V6316668664112"</f>
        <v>V6316668664112</v>
      </c>
      <c r="D1092" s="16" t="s">
        <v>5322</v>
      </c>
      <c r="E1092" s="16" t="s">
        <v>1282</v>
      </c>
      <c r="F1092" s="21">
        <v>9781259861901</v>
      </c>
      <c r="G1092" s="16" t="s">
        <v>5311</v>
      </c>
      <c r="H1092" s="16" t="s">
        <v>13</v>
      </c>
      <c r="I1092" s="16">
        <v>2022</v>
      </c>
      <c r="J1092" s="16" t="s">
        <v>5323</v>
      </c>
      <c r="K1092" s="16" t="s">
        <v>2289</v>
      </c>
      <c r="L1092" s="16" t="s">
        <v>15</v>
      </c>
      <c r="M1092" s="16" t="s">
        <v>5324</v>
      </c>
      <c r="N1092" s="16"/>
      <c r="O1092" s="16"/>
    </row>
    <row r="1093" spans="1:15" x14ac:dyDescent="0.3">
      <c r="A1093" s="16">
        <v>1092</v>
      </c>
      <c r="B1093" s="16" t="s">
        <v>1641</v>
      </c>
      <c r="C1093" s="16" t="str">
        <f>"V6316668749112"</f>
        <v>V6316668749112</v>
      </c>
      <c r="D1093" s="16" t="s">
        <v>5325</v>
      </c>
      <c r="E1093" s="16" t="s">
        <v>1282</v>
      </c>
      <c r="F1093" s="21">
        <v>9781259861901</v>
      </c>
      <c r="G1093" s="16" t="s">
        <v>5311</v>
      </c>
      <c r="H1093" s="16" t="s">
        <v>13</v>
      </c>
      <c r="I1093" s="16">
        <v>2022</v>
      </c>
      <c r="J1093" s="16" t="s">
        <v>5326</v>
      </c>
      <c r="K1093" s="16" t="s">
        <v>2289</v>
      </c>
      <c r="L1093" s="16" t="s">
        <v>15</v>
      </c>
      <c r="M1093" s="16" t="s">
        <v>5327</v>
      </c>
      <c r="N1093" s="16"/>
      <c r="O1093" s="16"/>
    </row>
    <row r="1094" spans="1:15" x14ac:dyDescent="0.3">
      <c r="A1094" s="16">
        <v>1093</v>
      </c>
      <c r="B1094" s="16" t="s">
        <v>1641</v>
      </c>
      <c r="C1094" s="16" t="str">
        <f>"V6316669064112"</f>
        <v>V6316669064112</v>
      </c>
      <c r="D1094" s="16" t="s">
        <v>5328</v>
      </c>
      <c r="E1094" s="16" t="s">
        <v>1282</v>
      </c>
      <c r="F1094" s="21">
        <v>9781259861901</v>
      </c>
      <c r="G1094" s="16" t="s">
        <v>5311</v>
      </c>
      <c r="H1094" s="16" t="s">
        <v>13</v>
      </c>
      <c r="I1094" s="16">
        <v>2022</v>
      </c>
      <c r="J1094" s="16" t="s">
        <v>5329</v>
      </c>
      <c r="K1094" s="16" t="s">
        <v>2289</v>
      </c>
      <c r="L1094" s="16" t="s">
        <v>15</v>
      </c>
      <c r="M1094" s="16" t="s">
        <v>5330</v>
      </c>
      <c r="N1094" s="16"/>
      <c r="O1094" s="16"/>
    </row>
    <row r="1095" spans="1:15" x14ac:dyDescent="0.3">
      <c r="A1095" s="16">
        <v>1094</v>
      </c>
      <c r="B1095" s="16" t="s">
        <v>1641</v>
      </c>
      <c r="C1095" s="16" t="str">
        <f>"V6316669065112"</f>
        <v>V6316669065112</v>
      </c>
      <c r="D1095" s="16" t="s">
        <v>5331</v>
      </c>
      <c r="E1095" s="16" t="s">
        <v>1282</v>
      </c>
      <c r="F1095" s="21">
        <v>9781259861901</v>
      </c>
      <c r="G1095" s="16" t="s">
        <v>5311</v>
      </c>
      <c r="H1095" s="16" t="s">
        <v>13</v>
      </c>
      <c r="I1095" s="16">
        <v>2022</v>
      </c>
      <c r="J1095" s="16" t="s">
        <v>5332</v>
      </c>
      <c r="K1095" s="16" t="s">
        <v>5333</v>
      </c>
      <c r="L1095" s="16" t="s">
        <v>15</v>
      </c>
      <c r="M1095" s="16" t="s">
        <v>5334</v>
      </c>
      <c r="N1095" s="16"/>
      <c r="O1095" s="16"/>
    </row>
    <row r="1096" spans="1:15" x14ac:dyDescent="0.3">
      <c r="A1096" s="16">
        <v>1095</v>
      </c>
      <c r="B1096" s="16" t="s">
        <v>1641</v>
      </c>
      <c r="C1096" s="16" t="str">
        <f>"V6316669152112"</f>
        <v>V6316669152112</v>
      </c>
      <c r="D1096" s="16" t="s">
        <v>5335</v>
      </c>
      <c r="E1096" s="16" t="s">
        <v>1282</v>
      </c>
      <c r="F1096" s="21">
        <v>9781259861901</v>
      </c>
      <c r="G1096" s="16" t="s">
        <v>5311</v>
      </c>
      <c r="H1096" s="16" t="s">
        <v>13</v>
      </c>
      <c r="I1096" s="16">
        <v>2022</v>
      </c>
      <c r="J1096" s="16" t="s">
        <v>5336</v>
      </c>
      <c r="K1096" s="16" t="s">
        <v>2289</v>
      </c>
      <c r="L1096" s="16" t="s">
        <v>15</v>
      </c>
      <c r="M1096" s="16" t="s">
        <v>5337</v>
      </c>
      <c r="N1096" s="16"/>
      <c r="O1096" s="16"/>
    </row>
    <row r="1097" spans="1:15" x14ac:dyDescent="0.3">
      <c r="A1097" s="16">
        <v>1096</v>
      </c>
      <c r="B1097" s="16" t="s">
        <v>1641</v>
      </c>
      <c r="C1097" s="16" t="str">
        <f>"V6316670035112"</f>
        <v>V6316670035112</v>
      </c>
      <c r="D1097" s="16" t="s">
        <v>5338</v>
      </c>
      <c r="E1097" s="16" t="s">
        <v>1282</v>
      </c>
      <c r="F1097" s="21">
        <v>9781259861901</v>
      </c>
      <c r="G1097" s="16" t="s">
        <v>5311</v>
      </c>
      <c r="H1097" s="16" t="s">
        <v>13</v>
      </c>
      <c r="I1097" s="16">
        <v>2022</v>
      </c>
      <c r="J1097" s="16" t="s">
        <v>5339</v>
      </c>
      <c r="K1097" s="16" t="s">
        <v>2289</v>
      </c>
      <c r="L1097" s="16" t="s">
        <v>15</v>
      </c>
      <c r="M1097" s="16" t="s">
        <v>5340</v>
      </c>
      <c r="N1097" s="16"/>
      <c r="O1097" s="16"/>
    </row>
    <row r="1098" spans="1:15" x14ac:dyDescent="0.3">
      <c r="A1098" s="16">
        <v>1097</v>
      </c>
      <c r="B1098" s="16" t="s">
        <v>1641</v>
      </c>
      <c r="C1098" s="16" t="str">
        <f>"V6316671418112"</f>
        <v>V6316671418112</v>
      </c>
      <c r="D1098" s="16" t="s">
        <v>5341</v>
      </c>
      <c r="E1098" s="16" t="s">
        <v>1282</v>
      </c>
      <c r="F1098" s="21">
        <v>9781259861901</v>
      </c>
      <c r="G1098" s="16" t="s">
        <v>5311</v>
      </c>
      <c r="H1098" s="16" t="s">
        <v>13</v>
      </c>
      <c r="I1098" s="16">
        <v>2022</v>
      </c>
      <c r="J1098" s="16" t="s">
        <v>5342</v>
      </c>
      <c r="K1098" s="16" t="s">
        <v>5320</v>
      </c>
      <c r="L1098" s="16" t="s">
        <v>15</v>
      </c>
      <c r="M1098" s="16" t="s">
        <v>5343</v>
      </c>
      <c r="N1098" s="16"/>
      <c r="O1098" s="16"/>
    </row>
    <row r="1099" spans="1:15" x14ac:dyDescent="0.3">
      <c r="A1099" s="16">
        <v>1098</v>
      </c>
      <c r="B1099" s="16" t="s">
        <v>1641</v>
      </c>
      <c r="C1099" s="16" t="str">
        <f>"V6316671620112"</f>
        <v>V6316671620112</v>
      </c>
      <c r="D1099" s="16" t="s">
        <v>5344</v>
      </c>
      <c r="E1099" s="16" t="s">
        <v>1282</v>
      </c>
      <c r="F1099" s="21">
        <v>9781259861901</v>
      </c>
      <c r="G1099" s="16" t="s">
        <v>5311</v>
      </c>
      <c r="H1099" s="16" t="s">
        <v>13</v>
      </c>
      <c r="I1099" s="16">
        <v>2022</v>
      </c>
      <c r="J1099" s="16" t="s">
        <v>5345</v>
      </c>
      <c r="K1099" s="16" t="s">
        <v>5320</v>
      </c>
      <c r="L1099" s="16" t="s">
        <v>15</v>
      </c>
      <c r="M1099" s="16" t="s">
        <v>5346</v>
      </c>
      <c r="N1099" s="16"/>
      <c r="O1099" s="16"/>
    </row>
    <row r="1100" spans="1:15" x14ac:dyDescent="0.3">
      <c r="A1100" s="16">
        <v>1099</v>
      </c>
      <c r="B1100" s="16" t="s">
        <v>1641</v>
      </c>
      <c r="C1100" s="16" t="str">
        <f>"V6316672009112"</f>
        <v>V6316672009112</v>
      </c>
      <c r="D1100" s="16" t="s">
        <v>5347</v>
      </c>
      <c r="E1100" s="16" t="s">
        <v>1282</v>
      </c>
      <c r="F1100" s="21">
        <v>9781259861901</v>
      </c>
      <c r="G1100" s="16" t="s">
        <v>5311</v>
      </c>
      <c r="H1100" s="16" t="s">
        <v>13</v>
      </c>
      <c r="I1100" s="16">
        <v>2022</v>
      </c>
      <c r="J1100" s="16" t="s">
        <v>5348</v>
      </c>
      <c r="K1100" s="16" t="s">
        <v>2289</v>
      </c>
      <c r="L1100" s="16" t="s">
        <v>15</v>
      </c>
      <c r="M1100" s="16" t="s">
        <v>5349</v>
      </c>
      <c r="N1100" s="16"/>
      <c r="O1100" s="16"/>
    </row>
    <row r="1101" spans="1:15" x14ac:dyDescent="0.3">
      <c r="A1101" s="16">
        <v>1100</v>
      </c>
      <c r="B1101" s="16" t="s">
        <v>1641</v>
      </c>
      <c r="C1101" s="16" t="str">
        <f>"V6316672010112"</f>
        <v>V6316672010112</v>
      </c>
      <c r="D1101" s="16" t="s">
        <v>5350</v>
      </c>
      <c r="E1101" s="16" t="s">
        <v>1282</v>
      </c>
      <c r="F1101" s="21">
        <v>9781259861901</v>
      </c>
      <c r="G1101" s="16" t="s">
        <v>5311</v>
      </c>
      <c r="H1101" s="16" t="s">
        <v>13</v>
      </c>
      <c r="I1101" s="16">
        <v>2022</v>
      </c>
      <c r="J1101" s="16" t="s">
        <v>5351</v>
      </c>
      <c r="K1101" s="16" t="s">
        <v>5352</v>
      </c>
      <c r="L1101" s="16" t="s">
        <v>15</v>
      </c>
      <c r="M1101" s="16" t="s">
        <v>5353</v>
      </c>
      <c r="N1101" s="16"/>
      <c r="O1101" s="16"/>
    </row>
    <row r="1102" spans="1:15" x14ac:dyDescent="0.3">
      <c r="A1102" s="16">
        <v>1101</v>
      </c>
      <c r="B1102" s="16" t="s">
        <v>1641</v>
      </c>
      <c r="C1102" s="16" t="str">
        <f>"V6316672011112"</f>
        <v>V6316672011112</v>
      </c>
      <c r="D1102" s="16" t="s">
        <v>5354</v>
      </c>
      <c r="E1102" s="16" t="s">
        <v>1282</v>
      </c>
      <c r="F1102" s="21">
        <v>9781259861901</v>
      </c>
      <c r="G1102" s="16" t="s">
        <v>5311</v>
      </c>
      <c r="H1102" s="16" t="s">
        <v>13</v>
      </c>
      <c r="I1102" s="16">
        <v>2022</v>
      </c>
      <c r="J1102" s="16" t="s">
        <v>5355</v>
      </c>
      <c r="K1102" s="16" t="s">
        <v>2289</v>
      </c>
      <c r="L1102" s="16" t="s">
        <v>15</v>
      </c>
      <c r="M1102" s="16" t="s">
        <v>5356</v>
      </c>
      <c r="N1102" s="16"/>
      <c r="O1102" s="16"/>
    </row>
    <row r="1103" spans="1:15" x14ac:dyDescent="0.3">
      <c r="A1103" s="16">
        <v>1102</v>
      </c>
      <c r="B1103" s="16" t="s">
        <v>1641</v>
      </c>
      <c r="C1103" s="16" t="str">
        <f>"V6316672012112"</f>
        <v>V6316672012112</v>
      </c>
      <c r="D1103" s="16" t="s">
        <v>5357</v>
      </c>
      <c r="E1103" s="16" t="s">
        <v>1282</v>
      </c>
      <c r="F1103" s="21">
        <v>9781259861901</v>
      </c>
      <c r="G1103" s="16" t="s">
        <v>5311</v>
      </c>
      <c r="H1103" s="16" t="s">
        <v>13</v>
      </c>
      <c r="I1103" s="16">
        <v>2022</v>
      </c>
      <c r="J1103" s="16" t="s">
        <v>5358</v>
      </c>
      <c r="K1103" s="16" t="s">
        <v>5359</v>
      </c>
      <c r="L1103" s="16" t="s">
        <v>15</v>
      </c>
      <c r="M1103" s="16" t="s">
        <v>5360</v>
      </c>
      <c r="N1103" s="16"/>
      <c r="O1103" s="16"/>
    </row>
    <row r="1104" spans="1:15" x14ac:dyDescent="0.3">
      <c r="A1104" s="16">
        <v>1103</v>
      </c>
      <c r="B1104" s="16" t="s">
        <v>1641</v>
      </c>
      <c r="C1104" s="16" t="str">
        <f>"V6317083617112"</f>
        <v>V6317083617112</v>
      </c>
      <c r="D1104" s="16" t="s">
        <v>5361</v>
      </c>
      <c r="E1104" s="16" t="s">
        <v>1282</v>
      </c>
      <c r="F1104" s="21">
        <v>9781259861901</v>
      </c>
      <c r="G1104" s="16" t="s">
        <v>5311</v>
      </c>
      <c r="H1104" s="16" t="s">
        <v>13</v>
      </c>
      <c r="I1104" s="16">
        <v>2022</v>
      </c>
      <c r="J1104" s="16" t="s">
        <v>5362</v>
      </c>
      <c r="K1104" s="16" t="s">
        <v>2289</v>
      </c>
      <c r="L1104" s="16" t="s">
        <v>15</v>
      </c>
      <c r="M1104" s="16" t="s">
        <v>5363</v>
      </c>
      <c r="N1104" s="16"/>
      <c r="O1104" s="16"/>
    </row>
    <row r="1105" spans="1:15" x14ac:dyDescent="0.3">
      <c r="A1105" s="16">
        <v>1104</v>
      </c>
      <c r="B1105" s="16" t="s">
        <v>1641</v>
      </c>
      <c r="C1105" s="16" t="str">
        <f>"V6317084498112"</f>
        <v>V6317084498112</v>
      </c>
      <c r="D1105" s="16" t="s">
        <v>5364</v>
      </c>
      <c r="E1105" s="16" t="s">
        <v>1282</v>
      </c>
      <c r="F1105" s="21">
        <v>9781259861901</v>
      </c>
      <c r="G1105" s="16" t="s">
        <v>5311</v>
      </c>
      <c r="H1105" s="16" t="s">
        <v>13</v>
      </c>
      <c r="I1105" s="16">
        <v>2022</v>
      </c>
      <c r="J1105" s="16" t="s">
        <v>5365</v>
      </c>
      <c r="K1105" s="16" t="s">
        <v>5366</v>
      </c>
      <c r="L1105" s="16" t="s">
        <v>15</v>
      </c>
      <c r="M1105" s="16" t="s">
        <v>5367</v>
      </c>
      <c r="N1105" s="16"/>
      <c r="O1105" s="16"/>
    </row>
    <row r="1106" spans="1:15" x14ac:dyDescent="0.3">
      <c r="A1106" s="16">
        <v>1105</v>
      </c>
      <c r="B1106" s="16" t="s">
        <v>1641</v>
      </c>
      <c r="C1106" s="16" t="str">
        <f>"V6317128803112"</f>
        <v>V6317128803112</v>
      </c>
      <c r="D1106" s="16" t="s">
        <v>5368</v>
      </c>
      <c r="E1106" s="16" t="s">
        <v>1282</v>
      </c>
      <c r="F1106" s="21">
        <v>9781259861901</v>
      </c>
      <c r="G1106" s="16" t="s">
        <v>5311</v>
      </c>
      <c r="H1106" s="16" t="s">
        <v>13</v>
      </c>
      <c r="I1106" s="16">
        <v>2022</v>
      </c>
      <c r="J1106" s="16" t="s">
        <v>5369</v>
      </c>
      <c r="K1106" s="16" t="s">
        <v>1283</v>
      </c>
      <c r="L1106" s="16" t="s">
        <v>15</v>
      </c>
      <c r="M1106" s="16" t="s">
        <v>5370</v>
      </c>
      <c r="N1106" s="16"/>
      <c r="O1106" s="16"/>
    </row>
    <row r="1107" spans="1:15" x14ac:dyDescent="0.3">
      <c r="A1107" s="16">
        <v>1106</v>
      </c>
      <c r="B1107" s="16" t="s">
        <v>1641</v>
      </c>
      <c r="C1107" s="16" t="str">
        <f>"V6339532945112"</f>
        <v>V6339532945112</v>
      </c>
      <c r="D1107" s="16" t="s">
        <v>5371</v>
      </c>
      <c r="E1107" s="16" t="s">
        <v>5372</v>
      </c>
      <c r="F1107" s="21">
        <v>9876543211111</v>
      </c>
      <c r="G1107" s="16" t="s">
        <v>5373</v>
      </c>
      <c r="H1107" s="16" t="s">
        <v>13</v>
      </c>
      <c r="I1107" s="16">
        <v>2023</v>
      </c>
      <c r="J1107" s="16" t="s">
        <v>5374</v>
      </c>
      <c r="K1107" s="16" t="s">
        <v>386</v>
      </c>
      <c r="L1107" s="16" t="s">
        <v>15</v>
      </c>
      <c r="M1107" s="16" t="s">
        <v>5375</v>
      </c>
      <c r="N1107" s="16"/>
      <c r="O1107" s="16"/>
    </row>
    <row r="1108" spans="1:15" x14ac:dyDescent="0.3">
      <c r="A1108" s="16">
        <v>1107</v>
      </c>
      <c r="B1108" s="16" t="s">
        <v>1641</v>
      </c>
      <c r="C1108" s="16" t="str">
        <f>"V6339532946112"</f>
        <v>V6339532946112</v>
      </c>
      <c r="D1108" s="16" t="s">
        <v>5376</v>
      </c>
      <c r="E1108" s="16" t="s">
        <v>5372</v>
      </c>
      <c r="F1108" s="21">
        <v>9876543211111</v>
      </c>
      <c r="G1108" s="16" t="s">
        <v>5373</v>
      </c>
      <c r="H1108" s="16" t="s">
        <v>13</v>
      </c>
      <c r="I1108" s="16">
        <v>2023</v>
      </c>
      <c r="J1108" s="16" t="s">
        <v>5377</v>
      </c>
      <c r="K1108" s="16" t="s">
        <v>5378</v>
      </c>
      <c r="L1108" s="16" t="s">
        <v>15</v>
      </c>
      <c r="M1108" s="16" t="s">
        <v>5379</v>
      </c>
      <c r="N1108" s="16"/>
      <c r="O1108" s="16"/>
    </row>
    <row r="1109" spans="1:15" x14ac:dyDescent="0.3">
      <c r="A1109" s="16">
        <v>1108</v>
      </c>
      <c r="B1109" s="16" t="s">
        <v>1641</v>
      </c>
      <c r="C1109" s="16" t="str">
        <f>"V6339533333112"</f>
        <v>V6339533333112</v>
      </c>
      <c r="D1109" s="16" t="s">
        <v>5380</v>
      </c>
      <c r="E1109" s="16" t="s">
        <v>5372</v>
      </c>
      <c r="F1109" s="21">
        <v>9876543211111</v>
      </c>
      <c r="G1109" s="16" t="s">
        <v>5373</v>
      </c>
      <c r="H1109" s="16" t="s">
        <v>13</v>
      </c>
      <c r="I1109" s="16">
        <v>2023</v>
      </c>
      <c r="J1109" s="16" t="s">
        <v>5381</v>
      </c>
      <c r="K1109" s="16" t="s">
        <v>64</v>
      </c>
      <c r="L1109" s="16" t="s">
        <v>15</v>
      </c>
      <c r="M1109" s="16" t="s">
        <v>5382</v>
      </c>
      <c r="N1109" s="16"/>
      <c r="O1109" s="16"/>
    </row>
    <row r="1110" spans="1:15" x14ac:dyDescent="0.3">
      <c r="A1110" s="16">
        <v>1109</v>
      </c>
      <c r="B1110" s="16" t="s">
        <v>1641</v>
      </c>
      <c r="C1110" s="16" t="str">
        <f>"V6339533334112"</f>
        <v>V6339533334112</v>
      </c>
      <c r="D1110" s="16" t="s">
        <v>5383</v>
      </c>
      <c r="E1110" s="16" t="s">
        <v>5372</v>
      </c>
      <c r="F1110" s="21">
        <v>9876543211111</v>
      </c>
      <c r="G1110" s="16" t="s">
        <v>5373</v>
      </c>
      <c r="H1110" s="16" t="s">
        <v>13</v>
      </c>
      <c r="I1110" s="16">
        <v>2023</v>
      </c>
      <c r="J1110" s="16" t="s">
        <v>5384</v>
      </c>
      <c r="K1110" s="16" t="s">
        <v>64</v>
      </c>
      <c r="L1110" s="16" t="s">
        <v>15</v>
      </c>
      <c r="M1110" s="16" t="s">
        <v>5385</v>
      </c>
      <c r="N1110" s="16"/>
      <c r="O1110" s="16"/>
    </row>
    <row r="1111" spans="1:15" x14ac:dyDescent="0.3">
      <c r="A1111" s="16">
        <v>1110</v>
      </c>
      <c r="B1111" s="16" t="s">
        <v>1641</v>
      </c>
      <c r="C1111" s="16" t="str">
        <f>"V6339533936112"</f>
        <v>V6339533936112</v>
      </c>
      <c r="D1111" s="16" t="s">
        <v>5386</v>
      </c>
      <c r="E1111" s="16" t="s">
        <v>5372</v>
      </c>
      <c r="F1111" s="21">
        <v>9876543211111</v>
      </c>
      <c r="G1111" s="16" t="s">
        <v>5373</v>
      </c>
      <c r="H1111" s="16" t="s">
        <v>13</v>
      </c>
      <c r="I1111" s="16">
        <v>2023</v>
      </c>
      <c r="J1111" s="16" t="s">
        <v>5387</v>
      </c>
      <c r="K1111" s="16" t="s">
        <v>36</v>
      </c>
      <c r="L1111" s="16" t="s">
        <v>15</v>
      </c>
      <c r="M1111" s="16" t="s">
        <v>5388</v>
      </c>
      <c r="N1111" s="16"/>
      <c r="O1111" s="16"/>
    </row>
    <row r="1112" spans="1:15" x14ac:dyDescent="0.3">
      <c r="A1112" s="16">
        <v>1111</v>
      </c>
      <c r="B1112" s="16" t="s">
        <v>1641</v>
      </c>
      <c r="C1112" s="16" t="str">
        <f>"V6339533937112"</f>
        <v>V6339533937112</v>
      </c>
      <c r="D1112" s="16" t="s">
        <v>5389</v>
      </c>
      <c r="E1112" s="16" t="s">
        <v>5372</v>
      </c>
      <c r="F1112" s="21">
        <v>9876543211111</v>
      </c>
      <c r="G1112" s="16" t="s">
        <v>5373</v>
      </c>
      <c r="H1112" s="16" t="s">
        <v>13</v>
      </c>
      <c r="I1112" s="16">
        <v>2023</v>
      </c>
      <c r="J1112" s="16" t="s">
        <v>5390</v>
      </c>
      <c r="K1112" s="16" t="s">
        <v>416</v>
      </c>
      <c r="L1112" s="16" t="s">
        <v>15</v>
      </c>
      <c r="M1112" s="16" t="s">
        <v>5391</v>
      </c>
      <c r="N1112" s="16"/>
      <c r="O1112" s="16"/>
    </row>
    <row r="1113" spans="1:15" x14ac:dyDescent="0.3">
      <c r="A1113" s="16">
        <v>1112</v>
      </c>
      <c r="B1113" s="16" t="s">
        <v>1641</v>
      </c>
      <c r="C1113" s="16" t="str">
        <f>"V6339534316112"</f>
        <v>V6339534316112</v>
      </c>
      <c r="D1113" s="16" t="s">
        <v>5392</v>
      </c>
      <c r="E1113" s="16" t="s">
        <v>5372</v>
      </c>
      <c r="F1113" s="21">
        <v>9876543211111</v>
      </c>
      <c r="G1113" s="16" t="s">
        <v>5373</v>
      </c>
      <c r="H1113" s="16" t="s">
        <v>13</v>
      </c>
      <c r="I1113" s="16">
        <v>2023</v>
      </c>
      <c r="J1113" s="16" t="s">
        <v>5393</v>
      </c>
      <c r="K1113" s="16" t="s">
        <v>5394</v>
      </c>
      <c r="L1113" s="16" t="s">
        <v>15</v>
      </c>
      <c r="M1113" s="16" t="s">
        <v>5395</v>
      </c>
      <c r="N1113" s="16"/>
      <c r="O1113" s="16"/>
    </row>
    <row r="1114" spans="1:15" x14ac:dyDescent="0.3">
      <c r="A1114" s="16">
        <v>1113</v>
      </c>
      <c r="B1114" s="16" t="s">
        <v>1641</v>
      </c>
      <c r="C1114" s="16" t="str">
        <f>"V6339534607112"</f>
        <v>V6339534607112</v>
      </c>
      <c r="D1114" s="16" t="s">
        <v>5396</v>
      </c>
      <c r="E1114" s="16" t="s">
        <v>5372</v>
      </c>
      <c r="F1114" s="21">
        <v>9876543211111</v>
      </c>
      <c r="G1114" s="16" t="s">
        <v>5373</v>
      </c>
      <c r="H1114" s="16" t="s">
        <v>13</v>
      </c>
      <c r="I1114" s="16">
        <v>2023</v>
      </c>
      <c r="J1114" s="16" t="s">
        <v>5397</v>
      </c>
      <c r="K1114" s="16" t="s">
        <v>64</v>
      </c>
      <c r="L1114" s="16" t="s">
        <v>15</v>
      </c>
      <c r="M1114" s="16" t="s">
        <v>5398</v>
      </c>
      <c r="N1114" s="16"/>
      <c r="O1114" s="16"/>
    </row>
    <row r="1115" spans="1:15" x14ac:dyDescent="0.3">
      <c r="A1115" s="16">
        <v>1114</v>
      </c>
      <c r="B1115" s="16" t="s">
        <v>1641</v>
      </c>
      <c r="C1115" s="16" t="str">
        <f>"V6339534704112"</f>
        <v>V6339534704112</v>
      </c>
      <c r="D1115" s="16" t="s">
        <v>5399</v>
      </c>
      <c r="E1115" s="16" t="s">
        <v>5372</v>
      </c>
      <c r="F1115" s="21">
        <v>9876543211111</v>
      </c>
      <c r="G1115" s="16" t="s">
        <v>5373</v>
      </c>
      <c r="H1115" s="16" t="s">
        <v>13</v>
      </c>
      <c r="I1115" s="16">
        <v>2023</v>
      </c>
      <c r="J1115" s="16" t="s">
        <v>5400</v>
      </c>
      <c r="K1115" s="16" t="s">
        <v>5401</v>
      </c>
      <c r="L1115" s="16" t="s">
        <v>15</v>
      </c>
      <c r="M1115" s="16" t="s">
        <v>5402</v>
      </c>
      <c r="N1115" s="16"/>
      <c r="O1115" s="16"/>
    </row>
    <row r="1116" spans="1:15" x14ac:dyDescent="0.3">
      <c r="A1116" s="16">
        <v>1115</v>
      </c>
      <c r="B1116" s="16" t="s">
        <v>1641</v>
      </c>
      <c r="C1116" s="16" t="str">
        <f>"V6339534792112"</f>
        <v>V6339534792112</v>
      </c>
      <c r="D1116" s="16" t="s">
        <v>5403</v>
      </c>
      <c r="E1116" s="16" t="s">
        <v>5372</v>
      </c>
      <c r="F1116" s="21">
        <v>9876543211111</v>
      </c>
      <c r="G1116" s="16" t="s">
        <v>5373</v>
      </c>
      <c r="H1116" s="16" t="s">
        <v>13</v>
      </c>
      <c r="I1116" s="16">
        <v>2023</v>
      </c>
      <c r="J1116" s="16" t="s">
        <v>5404</v>
      </c>
      <c r="K1116" s="16" t="s">
        <v>158</v>
      </c>
      <c r="L1116" s="16" t="s">
        <v>15</v>
      </c>
      <c r="M1116" s="16" t="s">
        <v>5405</v>
      </c>
      <c r="N1116" s="16"/>
      <c r="O1116" s="16"/>
    </row>
    <row r="1117" spans="1:15" x14ac:dyDescent="0.3">
      <c r="A1117" s="16">
        <v>1116</v>
      </c>
      <c r="B1117" s="16" t="s">
        <v>1641</v>
      </c>
      <c r="C1117" s="16" t="str">
        <f>"V6339535189112"</f>
        <v>V6339535189112</v>
      </c>
      <c r="D1117" s="16" t="s">
        <v>5406</v>
      </c>
      <c r="E1117" s="16" t="s">
        <v>5372</v>
      </c>
      <c r="F1117" s="21">
        <v>9876543211111</v>
      </c>
      <c r="G1117" s="16" t="s">
        <v>5373</v>
      </c>
      <c r="H1117" s="16" t="s">
        <v>13</v>
      </c>
      <c r="I1117" s="16">
        <v>2023</v>
      </c>
      <c r="J1117" s="16" t="s">
        <v>5407</v>
      </c>
      <c r="K1117" s="16" t="s">
        <v>5408</v>
      </c>
      <c r="L1117" s="16" t="s">
        <v>15</v>
      </c>
      <c r="M1117" s="16" t="s">
        <v>5409</v>
      </c>
      <c r="N1117" s="16"/>
      <c r="O1117" s="16"/>
    </row>
    <row r="1118" spans="1:15" x14ac:dyDescent="0.3">
      <c r="A1118" s="16">
        <v>1117</v>
      </c>
      <c r="B1118" s="16" t="s">
        <v>1641</v>
      </c>
      <c r="C1118" s="16" t="str">
        <f>"V6339535478112"</f>
        <v>V6339535478112</v>
      </c>
      <c r="D1118" s="16" t="s">
        <v>5410</v>
      </c>
      <c r="E1118" s="16" t="s">
        <v>5372</v>
      </c>
      <c r="F1118" s="21">
        <v>9876543211111</v>
      </c>
      <c r="G1118" s="16" t="s">
        <v>5373</v>
      </c>
      <c r="H1118" s="16" t="s">
        <v>13</v>
      </c>
      <c r="I1118" s="16">
        <v>2023</v>
      </c>
      <c r="J1118" s="16" t="s">
        <v>5411</v>
      </c>
      <c r="K1118" s="16" t="s">
        <v>5401</v>
      </c>
      <c r="L1118" s="16" t="s">
        <v>15</v>
      </c>
      <c r="M1118" s="16" t="s">
        <v>5412</v>
      </c>
      <c r="N1118" s="16"/>
      <c r="O1118" s="16"/>
    </row>
    <row r="1119" spans="1:15" x14ac:dyDescent="0.3">
      <c r="A1119" s="16">
        <v>1118</v>
      </c>
      <c r="B1119" s="16" t="s">
        <v>1641</v>
      </c>
      <c r="C1119" s="16" t="str">
        <f>"YT9781264278305_01"</f>
        <v>YT9781264278305_01</v>
      </c>
      <c r="D1119" s="16" t="s">
        <v>5413</v>
      </c>
      <c r="E1119" s="16" t="s">
        <v>5414</v>
      </c>
      <c r="F1119" s="21">
        <v>9781264278305</v>
      </c>
      <c r="G1119" s="16" t="s">
        <v>796</v>
      </c>
      <c r="H1119" s="16" t="s">
        <v>13</v>
      </c>
      <c r="I1119" s="16">
        <v>2022</v>
      </c>
      <c r="J1119" s="16" t="s">
        <v>5415</v>
      </c>
      <c r="K1119" s="16" t="s">
        <v>64</v>
      </c>
      <c r="L1119" s="16" t="s">
        <v>15</v>
      </c>
      <c r="M1119" s="16" t="s">
        <v>5416</v>
      </c>
      <c r="N1119" s="16"/>
      <c r="O1119" s="16"/>
    </row>
    <row r="1120" spans="1:15" x14ac:dyDescent="0.3">
      <c r="A1120" s="16">
        <v>1119</v>
      </c>
      <c r="B1120" s="16" t="s">
        <v>1641</v>
      </c>
      <c r="C1120" s="16" t="str">
        <f>"YT9781264278305_02"</f>
        <v>YT9781264278305_02</v>
      </c>
      <c r="D1120" s="16" t="s">
        <v>5417</v>
      </c>
      <c r="E1120" s="16" t="s">
        <v>5414</v>
      </c>
      <c r="F1120" s="21">
        <v>9781264278305</v>
      </c>
      <c r="G1120" s="16" t="s">
        <v>796</v>
      </c>
      <c r="H1120" s="16" t="s">
        <v>13</v>
      </c>
      <c r="I1120" s="16">
        <v>2020</v>
      </c>
      <c r="J1120" s="16" t="s">
        <v>5418</v>
      </c>
      <c r="K1120" s="16" t="s">
        <v>5419</v>
      </c>
      <c r="L1120" s="16" t="s">
        <v>15</v>
      </c>
      <c r="M1120" s="16" t="s">
        <v>5420</v>
      </c>
      <c r="N1120" s="16"/>
      <c r="O1120" s="16"/>
    </row>
    <row r="1121" spans="1:15" x14ac:dyDescent="0.3">
      <c r="A1121" s="16">
        <v>1120</v>
      </c>
      <c r="B1121" s="16" t="s">
        <v>1641</v>
      </c>
      <c r="C1121" s="16" t="str">
        <f>"YT9781264278305_03"</f>
        <v>YT9781264278305_03</v>
      </c>
      <c r="D1121" s="16" t="s">
        <v>5421</v>
      </c>
      <c r="E1121" s="16" t="s">
        <v>5414</v>
      </c>
      <c r="F1121" s="21">
        <v>9781264278305</v>
      </c>
      <c r="G1121" s="16" t="s">
        <v>796</v>
      </c>
      <c r="H1121" s="16" t="s">
        <v>13</v>
      </c>
      <c r="I1121" s="16">
        <v>2020</v>
      </c>
      <c r="J1121" s="16" t="s">
        <v>5422</v>
      </c>
      <c r="K1121" s="16" t="s">
        <v>4287</v>
      </c>
      <c r="L1121" s="16" t="s">
        <v>15</v>
      </c>
      <c r="M1121" s="16" t="s">
        <v>5423</v>
      </c>
      <c r="N1121" s="16"/>
      <c r="O1121" s="16"/>
    </row>
    <row r="1122" spans="1:15" x14ac:dyDescent="0.3">
      <c r="A1122" s="16">
        <v>1121</v>
      </c>
      <c r="B1122" s="16" t="s">
        <v>1641</v>
      </c>
      <c r="C1122" s="16" t="str">
        <f>"YT9781264278305_04"</f>
        <v>YT9781264278305_04</v>
      </c>
      <c r="D1122" s="16" t="s">
        <v>5424</v>
      </c>
      <c r="E1122" s="16" t="s">
        <v>5414</v>
      </c>
      <c r="F1122" s="21">
        <v>9781264278305</v>
      </c>
      <c r="G1122" s="16" t="s">
        <v>796</v>
      </c>
      <c r="H1122" s="16" t="s">
        <v>13</v>
      </c>
      <c r="I1122" s="16">
        <v>2020</v>
      </c>
      <c r="J1122" s="16" t="s">
        <v>5425</v>
      </c>
      <c r="K1122" s="16" t="s">
        <v>1668</v>
      </c>
      <c r="L1122" s="16" t="s">
        <v>15</v>
      </c>
      <c r="M1122" s="16" t="s">
        <v>5426</v>
      </c>
      <c r="N1122" s="16"/>
      <c r="O1122" s="16"/>
    </row>
    <row r="1123" spans="1:15" x14ac:dyDescent="0.3">
      <c r="A1123" s="16">
        <v>1122</v>
      </c>
      <c r="B1123" s="16" t="s">
        <v>1641</v>
      </c>
      <c r="C1123" s="16" t="str">
        <f>"YT9781264278305_05"</f>
        <v>YT9781264278305_05</v>
      </c>
      <c r="D1123" s="16" t="s">
        <v>5427</v>
      </c>
      <c r="E1123" s="16" t="s">
        <v>5414</v>
      </c>
      <c r="F1123" s="21">
        <v>9781264278305</v>
      </c>
      <c r="G1123" s="16" t="s">
        <v>796</v>
      </c>
      <c r="H1123" s="16" t="s">
        <v>13</v>
      </c>
      <c r="I1123" s="16">
        <v>2020</v>
      </c>
      <c r="J1123" s="16" t="s">
        <v>5428</v>
      </c>
      <c r="K1123" s="16" t="s">
        <v>1668</v>
      </c>
      <c r="L1123" s="16" t="s">
        <v>15</v>
      </c>
      <c r="M1123" s="16" t="s">
        <v>5429</v>
      </c>
      <c r="N1123" s="16"/>
      <c r="O1123" s="16"/>
    </row>
    <row r="1124" spans="1:15" x14ac:dyDescent="0.3">
      <c r="A1124" s="16">
        <v>1123</v>
      </c>
      <c r="B1124" s="16" t="s">
        <v>1641</v>
      </c>
      <c r="C1124" s="16" t="str">
        <f>"YT9781264278305_06"</f>
        <v>YT9781264278305_06</v>
      </c>
      <c r="D1124" s="16" t="s">
        <v>5430</v>
      </c>
      <c r="E1124" s="16" t="s">
        <v>5414</v>
      </c>
      <c r="F1124" s="21">
        <v>9781264278305</v>
      </c>
      <c r="G1124" s="16" t="s">
        <v>796</v>
      </c>
      <c r="H1124" s="16" t="s">
        <v>13</v>
      </c>
      <c r="I1124" s="16">
        <v>2020</v>
      </c>
      <c r="J1124" s="16" t="s">
        <v>5431</v>
      </c>
      <c r="K1124" s="16" t="s">
        <v>1668</v>
      </c>
      <c r="L1124" s="16" t="s">
        <v>15</v>
      </c>
      <c r="M1124" s="16" t="s">
        <v>5432</v>
      </c>
      <c r="N1124" s="16"/>
      <c r="O1124" s="16"/>
    </row>
    <row r="1125" spans="1:15" x14ac:dyDescent="0.3">
      <c r="A1125" s="16">
        <v>1124</v>
      </c>
      <c r="B1125" s="16" t="s">
        <v>1641</v>
      </c>
      <c r="C1125" s="16" t="str">
        <f>"YT9781264278305_07"</f>
        <v>YT9781264278305_07</v>
      </c>
      <c r="D1125" s="16" t="s">
        <v>5433</v>
      </c>
      <c r="E1125" s="16" t="s">
        <v>5414</v>
      </c>
      <c r="F1125" s="21">
        <v>9781264278305</v>
      </c>
      <c r="G1125" s="16" t="s">
        <v>796</v>
      </c>
      <c r="H1125" s="16" t="s">
        <v>13</v>
      </c>
      <c r="I1125" s="16">
        <v>2020</v>
      </c>
      <c r="J1125" s="16" t="s">
        <v>5434</v>
      </c>
      <c r="K1125" s="16" t="s">
        <v>1617</v>
      </c>
      <c r="L1125" s="16" t="s">
        <v>15</v>
      </c>
      <c r="M1125" s="16" t="s">
        <v>5435</v>
      </c>
      <c r="N1125" s="16"/>
      <c r="O1125" s="16"/>
    </row>
    <row r="1126" spans="1:15" x14ac:dyDescent="0.3">
      <c r="A1126" s="16">
        <v>1125</v>
      </c>
      <c r="B1126" s="16" t="s">
        <v>1641</v>
      </c>
      <c r="C1126" s="16" t="str">
        <f>"YT9781264278305_08"</f>
        <v>YT9781264278305_08</v>
      </c>
      <c r="D1126" s="16" t="s">
        <v>5436</v>
      </c>
      <c r="E1126" s="16" t="s">
        <v>5414</v>
      </c>
      <c r="F1126" s="21">
        <v>9781264278305</v>
      </c>
      <c r="G1126" s="16" t="s">
        <v>796</v>
      </c>
      <c r="H1126" s="16" t="s">
        <v>13</v>
      </c>
      <c r="I1126" s="16">
        <v>2020</v>
      </c>
      <c r="J1126" s="16" t="s">
        <v>5437</v>
      </c>
      <c r="K1126" s="16" t="s">
        <v>5438</v>
      </c>
      <c r="L1126" s="16" t="s">
        <v>15</v>
      </c>
      <c r="M1126" s="16" t="s">
        <v>5439</v>
      </c>
      <c r="N1126" s="16"/>
      <c r="O1126" s="16"/>
    </row>
    <row r="1127" spans="1:15" x14ac:dyDescent="0.3">
      <c r="A1127" s="16">
        <v>1126</v>
      </c>
      <c r="B1127" s="16" t="s">
        <v>1641</v>
      </c>
      <c r="C1127" s="16" t="str">
        <f>"YT9781264278305_09"</f>
        <v>YT9781264278305_09</v>
      </c>
      <c r="D1127" s="16" t="s">
        <v>5440</v>
      </c>
      <c r="E1127" s="16" t="s">
        <v>5414</v>
      </c>
      <c r="F1127" s="21">
        <v>9781264278305</v>
      </c>
      <c r="G1127" s="16" t="s">
        <v>796</v>
      </c>
      <c r="H1127" s="16" t="s">
        <v>13</v>
      </c>
      <c r="I1127" s="16">
        <v>2020</v>
      </c>
      <c r="J1127" s="16" t="s">
        <v>5441</v>
      </c>
      <c r="K1127" s="16" t="s">
        <v>1668</v>
      </c>
      <c r="L1127" s="16" t="s">
        <v>15</v>
      </c>
      <c r="M1127" s="16" t="s">
        <v>5442</v>
      </c>
      <c r="N1127" s="16"/>
      <c r="O1127" s="16"/>
    </row>
    <row r="1128" spans="1:15" x14ac:dyDescent="0.3">
      <c r="A1128" s="16">
        <v>1127</v>
      </c>
      <c r="B1128" s="16" t="s">
        <v>1641</v>
      </c>
      <c r="C1128" s="16" t="str">
        <f>"YT9781264278305_10"</f>
        <v>YT9781264278305_10</v>
      </c>
      <c r="D1128" s="16" t="s">
        <v>5443</v>
      </c>
      <c r="E1128" s="16" t="s">
        <v>5414</v>
      </c>
      <c r="F1128" s="21">
        <v>9781264278305</v>
      </c>
      <c r="G1128" s="16" t="s">
        <v>796</v>
      </c>
      <c r="H1128" s="16" t="s">
        <v>13</v>
      </c>
      <c r="I1128" s="16">
        <v>2020</v>
      </c>
      <c r="J1128" s="16" t="s">
        <v>5444</v>
      </c>
      <c r="K1128" s="16" t="s">
        <v>4287</v>
      </c>
      <c r="L1128" s="16" t="s">
        <v>15</v>
      </c>
      <c r="M1128" s="16" t="s">
        <v>5445</v>
      </c>
      <c r="N1128" s="16"/>
      <c r="O1128" s="16"/>
    </row>
    <row r="1129" spans="1:15" x14ac:dyDescent="0.3">
      <c r="A1129" s="16">
        <v>1128</v>
      </c>
      <c r="B1129" s="16" t="s">
        <v>1641</v>
      </c>
      <c r="C1129" s="16" t="str">
        <f>"YT9781264278305_11"</f>
        <v>YT9781264278305_11</v>
      </c>
      <c r="D1129" s="16" t="s">
        <v>5446</v>
      </c>
      <c r="E1129" s="16" t="s">
        <v>5414</v>
      </c>
      <c r="F1129" s="21">
        <v>9781264278305</v>
      </c>
      <c r="G1129" s="16" t="s">
        <v>796</v>
      </c>
      <c r="H1129" s="16" t="s">
        <v>13</v>
      </c>
      <c r="I1129" s="16">
        <v>2020</v>
      </c>
      <c r="J1129" s="16" t="s">
        <v>5447</v>
      </c>
      <c r="K1129" s="16" t="s">
        <v>1668</v>
      </c>
      <c r="L1129" s="16" t="s">
        <v>15</v>
      </c>
      <c r="M1129" s="16" t="s">
        <v>5448</v>
      </c>
      <c r="N1129" s="16"/>
      <c r="O1129" s="16"/>
    </row>
    <row r="1130" spans="1:15" x14ac:dyDescent="0.3">
      <c r="A1130" s="16">
        <v>1129</v>
      </c>
      <c r="B1130" s="16" t="s">
        <v>1641</v>
      </c>
      <c r="C1130" s="16" t="str">
        <f>"YT9781264278305_12"</f>
        <v>YT9781264278305_12</v>
      </c>
      <c r="D1130" s="16" t="s">
        <v>5449</v>
      </c>
      <c r="E1130" s="16" t="s">
        <v>5414</v>
      </c>
      <c r="F1130" s="21">
        <v>9781264278305</v>
      </c>
      <c r="G1130" s="16" t="s">
        <v>796</v>
      </c>
      <c r="H1130" s="16" t="s">
        <v>13</v>
      </c>
      <c r="I1130" s="16">
        <v>2020</v>
      </c>
      <c r="J1130" s="16" t="s">
        <v>5450</v>
      </c>
      <c r="K1130" s="16" t="s">
        <v>4287</v>
      </c>
      <c r="L1130" s="16" t="s">
        <v>15</v>
      </c>
      <c r="M1130" s="16" t="s">
        <v>5451</v>
      </c>
      <c r="N1130" s="16"/>
      <c r="O1130" s="16"/>
    </row>
    <row r="1131" spans="1:15" x14ac:dyDescent="0.3">
      <c r="A1131" s="16">
        <v>1130</v>
      </c>
      <c r="B1131" s="16" t="s">
        <v>1641</v>
      </c>
      <c r="C1131" s="16" t="str">
        <f>"YT9781264278305_13"</f>
        <v>YT9781264278305_13</v>
      </c>
      <c r="D1131" s="16" t="s">
        <v>5452</v>
      </c>
      <c r="E1131" s="16" t="s">
        <v>5414</v>
      </c>
      <c r="F1131" s="21">
        <v>9781264278305</v>
      </c>
      <c r="G1131" s="16" t="s">
        <v>796</v>
      </c>
      <c r="H1131" s="16" t="s">
        <v>13</v>
      </c>
      <c r="I1131" s="16">
        <v>2020</v>
      </c>
      <c r="J1131" s="16" t="s">
        <v>5453</v>
      </c>
      <c r="K1131" s="16" t="s">
        <v>4287</v>
      </c>
      <c r="L1131" s="16" t="s">
        <v>15</v>
      </c>
      <c r="M1131" s="16" t="s">
        <v>5454</v>
      </c>
      <c r="N1131" s="16"/>
      <c r="O1131" s="16"/>
    </row>
    <row r="1132" spans="1:15" x14ac:dyDescent="0.3">
      <c r="A1132" s="16">
        <v>1131</v>
      </c>
      <c r="B1132" s="16" t="s">
        <v>1641</v>
      </c>
      <c r="C1132" s="16" t="str">
        <f>"YT9781264278305_14"</f>
        <v>YT9781264278305_14</v>
      </c>
      <c r="D1132" s="16" t="s">
        <v>5455</v>
      </c>
      <c r="E1132" s="16" t="s">
        <v>5414</v>
      </c>
      <c r="F1132" s="21">
        <v>9781264278305</v>
      </c>
      <c r="G1132" s="16" t="s">
        <v>796</v>
      </c>
      <c r="H1132" s="16" t="s">
        <v>13</v>
      </c>
      <c r="I1132" s="16">
        <v>2020</v>
      </c>
      <c r="J1132" s="16" t="s">
        <v>5456</v>
      </c>
      <c r="K1132" s="16" t="s">
        <v>3764</v>
      </c>
      <c r="L1132" s="16" t="s">
        <v>15</v>
      </c>
      <c r="M1132" s="16" t="s">
        <v>5457</v>
      </c>
      <c r="N1132" s="16"/>
      <c r="O1132" s="16"/>
    </row>
    <row r="1133" spans="1:15" x14ac:dyDescent="0.3">
      <c r="A1133" s="16">
        <v>1132</v>
      </c>
      <c r="B1133" s="16" t="s">
        <v>1641</v>
      </c>
      <c r="C1133" s="16" t="str">
        <f>"YT9781264278305_15"</f>
        <v>YT9781264278305_15</v>
      </c>
      <c r="D1133" s="16" t="s">
        <v>5458</v>
      </c>
      <c r="E1133" s="16" t="s">
        <v>5414</v>
      </c>
      <c r="F1133" s="21">
        <v>9781264278305</v>
      </c>
      <c r="G1133" s="16" t="s">
        <v>796</v>
      </c>
      <c r="H1133" s="16" t="s">
        <v>13</v>
      </c>
      <c r="I1133" s="16">
        <v>2020</v>
      </c>
      <c r="J1133" s="16" t="s">
        <v>5459</v>
      </c>
      <c r="K1133" s="16" t="s">
        <v>1617</v>
      </c>
      <c r="L1133" s="16" t="s">
        <v>15</v>
      </c>
      <c r="M1133" s="16" t="s">
        <v>5460</v>
      </c>
      <c r="N1133" s="16"/>
      <c r="O1133" s="16"/>
    </row>
    <row r="1134" spans="1:15" x14ac:dyDescent="0.3">
      <c r="A1134" s="16">
        <v>1133</v>
      </c>
      <c r="B1134" s="16" t="s">
        <v>1641</v>
      </c>
      <c r="C1134" s="16" t="str">
        <f>"YT9781264278305_16"</f>
        <v>YT9781264278305_16</v>
      </c>
      <c r="D1134" s="16" t="s">
        <v>5461</v>
      </c>
      <c r="E1134" s="16" t="s">
        <v>5414</v>
      </c>
      <c r="F1134" s="21">
        <v>9781264278305</v>
      </c>
      <c r="G1134" s="16" t="s">
        <v>796</v>
      </c>
      <c r="H1134" s="16" t="s">
        <v>13</v>
      </c>
      <c r="I1134" s="16">
        <v>2020</v>
      </c>
      <c r="J1134" s="16" t="s">
        <v>5462</v>
      </c>
      <c r="K1134" s="16" t="s">
        <v>4287</v>
      </c>
      <c r="L1134" s="16" t="s">
        <v>15</v>
      </c>
      <c r="M1134" s="16" t="s">
        <v>5463</v>
      </c>
      <c r="N1134" s="16"/>
      <c r="O1134" s="16"/>
    </row>
    <row r="1135" spans="1:15" x14ac:dyDescent="0.3">
      <c r="A1135" s="16">
        <v>1134</v>
      </c>
      <c r="B1135" s="16" t="s">
        <v>1641</v>
      </c>
      <c r="C1135" s="16" t="str">
        <f>"YT9781264278305_17"</f>
        <v>YT9781264278305_17</v>
      </c>
      <c r="D1135" s="16" t="s">
        <v>5464</v>
      </c>
      <c r="E1135" s="16" t="s">
        <v>5414</v>
      </c>
      <c r="F1135" s="21">
        <v>9781264278305</v>
      </c>
      <c r="G1135" s="16" t="s">
        <v>796</v>
      </c>
      <c r="H1135" s="16" t="s">
        <v>13</v>
      </c>
      <c r="I1135" s="16">
        <v>2020</v>
      </c>
      <c r="J1135" s="16" t="s">
        <v>5465</v>
      </c>
      <c r="K1135" s="16" t="s">
        <v>4126</v>
      </c>
      <c r="L1135" s="16" t="s">
        <v>15</v>
      </c>
      <c r="M1135" s="16" t="s">
        <v>5466</v>
      </c>
      <c r="N1135" s="16"/>
      <c r="O1135" s="16"/>
    </row>
    <row r="1136" spans="1:15" x14ac:dyDescent="0.3">
      <c r="A1136" s="16">
        <v>1135</v>
      </c>
      <c r="B1136" s="16" t="s">
        <v>1641</v>
      </c>
      <c r="C1136" s="16" t="str">
        <f>"YT9781264278305_18"</f>
        <v>YT9781264278305_18</v>
      </c>
      <c r="D1136" s="16" t="s">
        <v>5467</v>
      </c>
      <c r="E1136" s="16" t="s">
        <v>5414</v>
      </c>
      <c r="F1136" s="21">
        <v>9781264278305</v>
      </c>
      <c r="G1136" s="16" t="s">
        <v>796</v>
      </c>
      <c r="H1136" s="16" t="s">
        <v>13</v>
      </c>
      <c r="I1136" s="16">
        <v>2020</v>
      </c>
      <c r="J1136" s="16" t="s">
        <v>5468</v>
      </c>
      <c r="K1136" s="16" t="s">
        <v>5469</v>
      </c>
      <c r="L1136" s="16" t="s">
        <v>15</v>
      </c>
      <c r="M1136" s="16" t="s">
        <v>5470</v>
      </c>
      <c r="N1136" s="16"/>
      <c r="O1136" s="16"/>
    </row>
    <row r="1137" spans="1:15" x14ac:dyDescent="0.3">
      <c r="A1137" s="16">
        <v>1136</v>
      </c>
      <c r="B1137" s="16" t="s">
        <v>1641</v>
      </c>
      <c r="C1137" s="16" t="str">
        <f>"YT9781264278305_19"</f>
        <v>YT9781264278305_19</v>
      </c>
      <c r="D1137" s="16" t="s">
        <v>5471</v>
      </c>
      <c r="E1137" s="16" t="s">
        <v>5414</v>
      </c>
      <c r="F1137" s="21">
        <v>9781264278305</v>
      </c>
      <c r="G1137" s="16" t="s">
        <v>796</v>
      </c>
      <c r="H1137" s="16" t="s">
        <v>13</v>
      </c>
      <c r="I1137" s="16">
        <v>2020</v>
      </c>
      <c r="J1137" s="16" t="s">
        <v>5472</v>
      </c>
      <c r="K1137" s="16" t="s">
        <v>4287</v>
      </c>
      <c r="L1137" s="16" t="s">
        <v>15</v>
      </c>
      <c r="M1137" s="16" t="s">
        <v>5473</v>
      </c>
      <c r="N1137" s="16"/>
      <c r="O1137" s="16"/>
    </row>
    <row r="1138" spans="1:15" x14ac:dyDescent="0.3">
      <c r="A1138" s="16">
        <v>1137</v>
      </c>
      <c r="B1138" s="16" t="s">
        <v>1641</v>
      </c>
      <c r="C1138" s="16" t="str">
        <f>"YT9781264278305_20"</f>
        <v>YT9781264278305_20</v>
      </c>
      <c r="D1138" s="16" t="s">
        <v>5474</v>
      </c>
      <c r="E1138" s="16" t="s">
        <v>5414</v>
      </c>
      <c r="F1138" s="21">
        <v>9781264278305</v>
      </c>
      <c r="G1138" s="16" t="s">
        <v>796</v>
      </c>
      <c r="H1138" s="16" t="s">
        <v>13</v>
      </c>
      <c r="I1138" s="16">
        <v>2020</v>
      </c>
      <c r="J1138" s="16" t="s">
        <v>5475</v>
      </c>
      <c r="K1138" s="16" t="s">
        <v>5476</v>
      </c>
      <c r="L1138" s="16" t="s">
        <v>15</v>
      </c>
      <c r="M1138" s="16" t="s">
        <v>5477</v>
      </c>
      <c r="N1138" s="16"/>
      <c r="O1138" s="16"/>
    </row>
    <row r="1139" spans="1:15" x14ac:dyDescent="0.3">
      <c r="A1139" s="16">
        <v>1138</v>
      </c>
      <c r="B1139" s="16" t="s">
        <v>1641</v>
      </c>
      <c r="C1139" s="16" t="str">
        <f>"YT9781264278305_21"</f>
        <v>YT9781264278305_21</v>
      </c>
      <c r="D1139" s="16" t="s">
        <v>5478</v>
      </c>
      <c r="E1139" s="16" t="s">
        <v>5414</v>
      </c>
      <c r="F1139" s="21">
        <v>9781264278305</v>
      </c>
      <c r="G1139" s="16" t="s">
        <v>796</v>
      </c>
      <c r="H1139" s="16" t="s">
        <v>13</v>
      </c>
      <c r="I1139" s="16">
        <v>2020</v>
      </c>
      <c r="J1139" s="16" t="s">
        <v>5479</v>
      </c>
      <c r="K1139" s="16" t="s">
        <v>4287</v>
      </c>
      <c r="L1139" s="16" t="s">
        <v>15</v>
      </c>
      <c r="M1139" s="16" t="s">
        <v>5480</v>
      </c>
      <c r="N1139" s="16"/>
      <c r="O1139" s="16"/>
    </row>
    <row r="1140" spans="1:15" x14ac:dyDescent="0.3">
      <c r="A1140" s="16">
        <v>1139</v>
      </c>
      <c r="B1140" s="16" t="s">
        <v>1641</v>
      </c>
      <c r="C1140" s="16" t="str">
        <f>"YT9781264278305_22"</f>
        <v>YT9781264278305_22</v>
      </c>
      <c r="D1140" s="16" t="s">
        <v>5481</v>
      </c>
      <c r="E1140" s="16" t="s">
        <v>5414</v>
      </c>
      <c r="F1140" s="21">
        <v>9781264278305</v>
      </c>
      <c r="G1140" s="16" t="s">
        <v>796</v>
      </c>
      <c r="H1140" s="16" t="s">
        <v>13</v>
      </c>
      <c r="I1140" s="16">
        <v>2020</v>
      </c>
      <c r="J1140" s="16" t="s">
        <v>5482</v>
      </c>
      <c r="K1140" s="16" t="s">
        <v>5483</v>
      </c>
      <c r="L1140" s="16" t="s">
        <v>15</v>
      </c>
      <c r="M1140" s="16" t="s">
        <v>5484</v>
      </c>
      <c r="N1140" s="16"/>
      <c r="O1140" s="16"/>
    </row>
    <row r="1141" spans="1:15" x14ac:dyDescent="0.3">
      <c r="A1141" s="16">
        <v>1140</v>
      </c>
      <c r="B1141" s="16" t="s">
        <v>1641</v>
      </c>
      <c r="C1141" s="16" t="str">
        <f>"YT9781264278305_23"</f>
        <v>YT9781264278305_23</v>
      </c>
      <c r="D1141" s="16" t="s">
        <v>5485</v>
      </c>
      <c r="E1141" s="16" t="s">
        <v>5414</v>
      </c>
      <c r="F1141" s="21">
        <v>9781264278305</v>
      </c>
      <c r="G1141" s="16" t="s">
        <v>796</v>
      </c>
      <c r="H1141" s="16" t="s">
        <v>13</v>
      </c>
      <c r="I1141" s="16">
        <v>2020</v>
      </c>
      <c r="J1141" s="16" t="s">
        <v>5486</v>
      </c>
      <c r="K1141" s="16" t="s">
        <v>4126</v>
      </c>
      <c r="L1141" s="16" t="s">
        <v>15</v>
      </c>
      <c r="M1141" s="16" t="s">
        <v>5487</v>
      </c>
      <c r="N1141" s="16"/>
      <c r="O1141" s="16"/>
    </row>
    <row r="1142" spans="1:15" x14ac:dyDescent="0.3">
      <c r="A1142" s="16">
        <v>1141</v>
      </c>
      <c r="B1142" s="16" t="s">
        <v>1641</v>
      </c>
      <c r="C1142" s="16" t="str">
        <f>"YT9781264278305_24"</f>
        <v>YT9781264278305_24</v>
      </c>
      <c r="D1142" s="16" t="s">
        <v>5488</v>
      </c>
      <c r="E1142" s="16" t="s">
        <v>5414</v>
      </c>
      <c r="F1142" s="21">
        <v>9781264278305</v>
      </c>
      <c r="G1142" s="16" t="s">
        <v>796</v>
      </c>
      <c r="H1142" s="16" t="s">
        <v>13</v>
      </c>
      <c r="I1142" s="16">
        <v>2020</v>
      </c>
      <c r="J1142" s="16" t="s">
        <v>5489</v>
      </c>
      <c r="K1142" s="16" t="s">
        <v>4126</v>
      </c>
      <c r="L1142" s="16" t="s">
        <v>15</v>
      </c>
      <c r="M1142" s="16" t="s">
        <v>5490</v>
      </c>
      <c r="N1142" s="16"/>
      <c r="O1142" s="16"/>
    </row>
    <row r="1143" spans="1:15" x14ac:dyDescent="0.3">
      <c r="A1143" s="16">
        <v>1142</v>
      </c>
      <c r="B1143" s="16" t="s">
        <v>1641</v>
      </c>
      <c r="C1143" s="16" t="str">
        <f>"YT9781264278305_25"</f>
        <v>YT9781264278305_25</v>
      </c>
      <c r="D1143" s="16" t="s">
        <v>5491</v>
      </c>
      <c r="E1143" s="16" t="s">
        <v>5414</v>
      </c>
      <c r="F1143" s="21">
        <v>9781264278305</v>
      </c>
      <c r="G1143" s="16" t="s">
        <v>796</v>
      </c>
      <c r="H1143" s="16" t="s">
        <v>13</v>
      </c>
      <c r="I1143" s="16">
        <v>2020</v>
      </c>
      <c r="J1143" s="16" t="s">
        <v>5492</v>
      </c>
      <c r="K1143" s="16" t="s">
        <v>4287</v>
      </c>
      <c r="L1143" s="16" t="s">
        <v>15</v>
      </c>
      <c r="M1143" s="16" t="s">
        <v>5493</v>
      </c>
      <c r="N1143" s="16"/>
      <c r="O1143" s="16"/>
    </row>
    <row r="1144" spans="1:15" x14ac:dyDescent="0.3">
      <c r="A1144" s="16">
        <v>1143</v>
      </c>
      <c r="B1144" s="16" t="s">
        <v>1641</v>
      </c>
      <c r="C1144" s="16" t="str">
        <f>"YT9781264278305_26"</f>
        <v>YT9781264278305_26</v>
      </c>
      <c r="D1144" s="16" t="s">
        <v>5494</v>
      </c>
      <c r="E1144" s="16" t="s">
        <v>5414</v>
      </c>
      <c r="F1144" s="21">
        <v>9781264278305</v>
      </c>
      <c r="G1144" s="16" t="s">
        <v>796</v>
      </c>
      <c r="H1144" s="16" t="s">
        <v>13</v>
      </c>
      <c r="I1144" s="16">
        <v>2020</v>
      </c>
      <c r="J1144" s="16" t="s">
        <v>5495</v>
      </c>
      <c r="K1144" s="16" t="s">
        <v>4126</v>
      </c>
      <c r="L1144" s="16" t="s">
        <v>15</v>
      </c>
      <c r="M1144" s="16" t="s">
        <v>5496</v>
      </c>
      <c r="N1144" s="16"/>
      <c r="O1144" s="16"/>
    </row>
    <row r="1145" spans="1:15" x14ac:dyDescent="0.3">
      <c r="A1145" s="16">
        <v>1144</v>
      </c>
      <c r="B1145" s="16" t="s">
        <v>1641</v>
      </c>
      <c r="C1145" s="16" t="str">
        <f>"YT9781264278305_27"</f>
        <v>YT9781264278305_27</v>
      </c>
      <c r="D1145" s="16" t="s">
        <v>5497</v>
      </c>
      <c r="E1145" s="16" t="s">
        <v>5414</v>
      </c>
      <c r="F1145" s="21">
        <v>9781264278305</v>
      </c>
      <c r="G1145" s="16" t="s">
        <v>796</v>
      </c>
      <c r="H1145" s="16" t="s">
        <v>13</v>
      </c>
      <c r="I1145" s="16">
        <v>2020</v>
      </c>
      <c r="J1145" s="16" t="s">
        <v>5498</v>
      </c>
      <c r="K1145" s="16" t="s">
        <v>4126</v>
      </c>
      <c r="L1145" s="16" t="s">
        <v>15</v>
      </c>
      <c r="M1145" s="16" t="s">
        <v>5499</v>
      </c>
      <c r="N1145" s="16"/>
      <c r="O1145" s="16"/>
    </row>
    <row r="1146" spans="1:15" x14ac:dyDescent="0.3">
      <c r="A1146" s="16">
        <v>1145</v>
      </c>
      <c r="B1146" s="16" t="s">
        <v>1641</v>
      </c>
      <c r="C1146" s="16" t="str">
        <f>"YT9781264278305_28"</f>
        <v>YT9781264278305_28</v>
      </c>
      <c r="D1146" s="16" t="s">
        <v>5500</v>
      </c>
      <c r="E1146" s="16" t="s">
        <v>5414</v>
      </c>
      <c r="F1146" s="21">
        <v>9781264278305</v>
      </c>
      <c r="G1146" s="16" t="s">
        <v>796</v>
      </c>
      <c r="H1146" s="16" t="s">
        <v>13</v>
      </c>
      <c r="I1146" s="16">
        <v>2020</v>
      </c>
      <c r="J1146" s="16" t="s">
        <v>5501</v>
      </c>
      <c r="K1146" s="16" t="s">
        <v>5502</v>
      </c>
      <c r="L1146" s="16" t="s">
        <v>15</v>
      </c>
      <c r="M1146" s="16" t="s">
        <v>5503</v>
      </c>
      <c r="N1146" s="16"/>
      <c r="O1146" s="16"/>
    </row>
    <row r="1147" spans="1:15" x14ac:dyDescent="0.3">
      <c r="A1147" s="16">
        <v>1146</v>
      </c>
      <c r="B1147" s="16" t="s">
        <v>1641</v>
      </c>
      <c r="C1147" s="16" t="str">
        <f>"YT9781264278305_29"</f>
        <v>YT9781264278305_29</v>
      </c>
      <c r="D1147" s="16" t="s">
        <v>5504</v>
      </c>
      <c r="E1147" s="16" t="s">
        <v>5414</v>
      </c>
      <c r="F1147" s="21">
        <v>9781264278305</v>
      </c>
      <c r="G1147" s="16" t="s">
        <v>796</v>
      </c>
      <c r="H1147" s="16" t="s">
        <v>13</v>
      </c>
      <c r="I1147" s="16">
        <v>2020</v>
      </c>
      <c r="J1147" s="16" t="s">
        <v>5505</v>
      </c>
      <c r="K1147" s="16" t="s">
        <v>1617</v>
      </c>
      <c r="L1147" s="16" t="s">
        <v>15</v>
      </c>
      <c r="M1147" s="16" t="s">
        <v>5506</v>
      </c>
      <c r="N1147" s="16"/>
      <c r="O1147" s="16"/>
    </row>
    <row r="1148" spans="1:15" x14ac:dyDescent="0.3">
      <c r="A1148" s="16">
        <v>1147</v>
      </c>
      <c r="B1148" s="16" t="s">
        <v>1641</v>
      </c>
      <c r="C1148" s="16" t="str">
        <f>"YT9781264278305_30"</f>
        <v>YT9781264278305_30</v>
      </c>
      <c r="D1148" s="16" t="s">
        <v>5507</v>
      </c>
      <c r="E1148" s="16" t="s">
        <v>5414</v>
      </c>
      <c r="F1148" s="21">
        <v>9781264278305</v>
      </c>
      <c r="G1148" s="16" t="s">
        <v>796</v>
      </c>
      <c r="H1148" s="16" t="s">
        <v>13</v>
      </c>
      <c r="I1148" s="16">
        <v>2020</v>
      </c>
      <c r="J1148" s="16" t="s">
        <v>5508</v>
      </c>
      <c r="K1148" s="16" t="s">
        <v>5509</v>
      </c>
      <c r="L1148" s="16" t="s">
        <v>15</v>
      </c>
      <c r="M1148" s="16" t="s">
        <v>5510</v>
      </c>
      <c r="N1148" s="16"/>
      <c r="O1148" s="16"/>
    </row>
    <row r="1149" spans="1:15" x14ac:dyDescent="0.3">
      <c r="A1149" s="16">
        <v>1148</v>
      </c>
      <c r="B1149" s="16" t="s">
        <v>1641</v>
      </c>
      <c r="C1149" s="16" t="str">
        <f>"YT9781264278305_31"</f>
        <v>YT9781264278305_31</v>
      </c>
      <c r="D1149" s="16" t="s">
        <v>5511</v>
      </c>
      <c r="E1149" s="16" t="s">
        <v>5414</v>
      </c>
      <c r="F1149" s="21">
        <v>9781264278305</v>
      </c>
      <c r="G1149" s="16" t="s">
        <v>796</v>
      </c>
      <c r="H1149" s="16" t="s">
        <v>13</v>
      </c>
      <c r="I1149" s="16">
        <v>2020</v>
      </c>
      <c r="J1149" s="16" t="s">
        <v>5512</v>
      </c>
      <c r="K1149" s="16" t="s">
        <v>5513</v>
      </c>
      <c r="L1149" s="16" t="s">
        <v>15</v>
      </c>
      <c r="M1149" s="16" t="s">
        <v>5514</v>
      </c>
      <c r="N1149" s="16"/>
      <c r="O1149" s="16"/>
    </row>
    <row r="1150" spans="1:15" x14ac:dyDescent="0.3">
      <c r="A1150" s="16">
        <v>1149</v>
      </c>
      <c r="B1150" s="16" t="s">
        <v>1641</v>
      </c>
      <c r="C1150" s="16" t="str">
        <f>"YT9781264278305_32"</f>
        <v>YT9781264278305_32</v>
      </c>
      <c r="D1150" s="16" t="s">
        <v>5515</v>
      </c>
      <c r="E1150" s="16" t="s">
        <v>5414</v>
      </c>
      <c r="F1150" s="21">
        <v>9781264278305</v>
      </c>
      <c r="G1150" s="16" t="s">
        <v>796</v>
      </c>
      <c r="H1150" s="16" t="s">
        <v>13</v>
      </c>
      <c r="I1150" s="16">
        <v>2020</v>
      </c>
      <c r="J1150" s="16" t="s">
        <v>5516</v>
      </c>
      <c r="K1150" s="16" t="s">
        <v>5517</v>
      </c>
      <c r="L1150" s="16" t="s">
        <v>15</v>
      </c>
      <c r="M1150" s="16" t="s">
        <v>5518</v>
      </c>
      <c r="N1150" s="16"/>
      <c r="O1150" s="16"/>
    </row>
    <row r="1151" spans="1:15" x14ac:dyDescent="0.3">
      <c r="A1151" s="16">
        <v>1150</v>
      </c>
      <c r="B1151" s="16" t="s">
        <v>1641</v>
      </c>
      <c r="C1151" s="16" t="str">
        <f>"YT9781264278305_33"</f>
        <v>YT9781264278305_33</v>
      </c>
      <c r="D1151" s="16" t="s">
        <v>5519</v>
      </c>
      <c r="E1151" s="16" t="s">
        <v>5414</v>
      </c>
      <c r="F1151" s="21">
        <v>9781264278305</v>
      </c>
      <c r="G1151" s="16" t="s">
        <v>796</v>
      </c>
      <c r="H1151" s="16" t="s">
        <v>13</v>
      </c>
      <c r="I1151" s="16">
        <v>2020</v>
      </c>
      <c r="J1151" s="16" t="s">
        <v>5520</v>
      </c>
      <c r="K1151" s="16" t="s">
        <v>5521</v>
      </c>
      <c r="L1151" s="16" t="s">
        <v>15</v>
      </c>
      <c r="M1151" s="16" t="s">
        <v>5522</v>
      </c>
      <c r="N1151" s="16"/>
      <c r="O1151" s="16"/>
    </row>
    <row r="1152" spans="1:15" x14ac:dyDescent="0.3">
      <c r="A1152" s="16">
        <v>1151</v>
      </c>
      <c r="B1152" s="16" t="s">
        <v>1641</v>
      </c>
      <c r="C1152" s="16" t="str">
        <f>"YT9781264278305_34"</f>
        <v>YT9781264278305_34</v>
      </c>
      <c r="D1152" s="16" t="s">
        <v>5523</v>
      </c>
      <c r="E1152" s="16" t="s">
        <v>5414</v>
      </c>
      <c r="F1152" s="21">
        <v>9781264278305</v>
      </c>
      <c r="G1152" s="16" t="s">
        <v>796</v>
      </c>
      <c r="H1152" s="16" t="s">
        <v>13</v>
      </c>
      <c r="I1152" s="16">
        <v>2020</v>
      </c>
      <c r="J1152" s="16" t="s">
        <v>5524</v>
      </c>
      <c r="K1152" s="16" t="s">
        <v>5513</v>
      </c>
      <c r="L1152" s="16" t="s">
        <v>15</v>
      </c>
      <c r="M1152" s="16" t="s">
        <v>5525</v>
      </c>
      <c r="N1152" s="16"/>
      <c r="O1152" s="16"/>
    </row>
    <row r="1153" spans="1:15" x14ac:dyDescent="0.3">
      <c r="A1153" s="16">
        <v>1152</v>
      </c>
      <c r="B1153" s="16" t="s">
        <v>1641</v>
      </c>
      <c r="C1153" s="16" t="str">
        <f>"YT9781264278305_35"</f>
        <v>YT9781264278305_35</v>
      </c>
      <c r="D1153" s="16" t="s">
        <v>5526</v>
      </c>
      <c r="E1153" s="16" t="s">
        <v>5414</v>
      </c>
      <c r="F1153" s="21">
        <v>9781264278305</v>
      </c>
      <c r="G1153" s="16" t="s">
        <v>796</v>
      </c>
      <c r="H1153" s="16" t="s">
        <v>13</v>
      </c>
      <c r="I1153" s="16">
        <v>2020</v>
      </c>
      <c r="J1153" s="16" t="s">
        <v>5527</v>
      </c>
      <c r="K1153" s="16" t="s">
        <v>742</v>
      </c>
      <c r="L1153" s="16" t="s">
        <v>15</v>
      </c>
      <c r="M1153" s="16" t="s">
        <v>5528</v>
      </c>
      <c r="N1153" s="16"/>
      <c r="O1153" s="16"/>
    </row>
    <row r="1154" spans="1:15" x14ac:dyDescent="0.3">
      <c r="A1154" s="16">
        <v>1153</v>
      </c>
      <c r="B1154" s="16" t="s">
        <v>1641</v>
      </c>
      <c r="C1154" s="16" t="str">
        <f>"YT9781264278305_36"</f>
        <v>YT9781264278305_36</v>
      </c>
      <c r="D1154" s="16" t="s">
        <v>5529</v>
      </c>
      <c r="E1154" s="16" t="s">
        <v>5414</v>
      </c>
      <c r="F1154" s="21">
        <v>9781264278305</v>
      </c>
      <c r="G1154" s="16" t="s">
        <v>796</v>
      </c>
      <c r="H1154" s="16" t="s">
        <v>13</v>
      </c>
      <c r="I1154" s="16">
        <v>2020</v>
      </c>
      <c r="J1154" s="16" t="s">
        <v>5530</v>
      </c>
      <c r="K1154" s="16" t="s">
        <v>4126</v>
      </c>
      <c r="L1154" s="16" t="s">
        <v>15</v>
      </c>
      <c r="M1154" s="16" t="s">
        <v>5531</v>
      </c>
      <c r="N1154" s="16"/>
      <c r="O1154" s="16"/>
    </row>
    <row r="1155" spans="1:15" x14ac:dyDescent="0.3">
      <c r="A1155" s="16">
        <v>1154</v>
      </c>
      <c r="B1155" s="16" t="s">
        <v>1641</v>
      </c>
      <c r="C1155" s="16" t="str">
        <f>"YT9781264278305_37"</f>
        <v>YT9781264278305_37</v>
      </c>
      <c r="D1155" s="16" t="s">
        <v>5532</v>
      </c>
      <c r="E1155" s="16" t="s">
        <v>5414</v>
      </c>
      <c r="F1155" s="21">
        <v>9781264278305</v>
      </c>
      <c r="G1155" s="16" t="s">
        <v>796</v>
      </c>
      <c r="H1155" s="16" t="s">
        <v>13</v>
      </c>
      <c r="I1155" s="16">
        <v>2020</v>
      </c>
      <c r="J1155" s="16" t="s">
        <v>5533</v>
      </c>
      <c r="K1155" s="16" t="s">
        <v>3505</v>
      </c>
      <c r="L1155" s="16" t="s">
        <v>15</v>
      </c>
      <c r="M1155" s="16" t="s">
        <v>5534</v>
      </c>
      <c r="N1155" s="16"/>
      <c r="O1155" s="16"/>
    </row>
    <row r="1156" spans="1:15" x14ac:dyDescent="0.3">
      <c r="A1156" s="16">
        <v>1155</v>
      </c>
      <c r="B1156" s="16" t="s">
        <v>1641</v>
      </c>
      <c r="C1156" s="16" t="str">
        <f>"YT9781264278305_38"</f>
        <v>YT9781264278305_38</v>
      </c>
      <c r="D1156" s="16" t="s">
        <v>5535</v>
      </c>
      <c r="E1156" s="16" t="s">
        <v>5414</v>
      </c>
      <c r="F1156" s="21">
        <v>9781264278305</v>
      </c>
      <c r="G1156" s="16" t="s">
        <v>796</v>
      </c>
      <c r="H1156" s="16" t="s">
        <v>13</v>
      </c>
      <c r="I1156" s="16">
        <v>2020</v>
      </c>
      <c r="J1156" s="16" t="s">
        <v>5536</v>
      </c>
      <c r="K1156" s="16" t="s">
        <v>5537</v>
      </c>
      <c r="L1156" s="16" t="s">
        <v>15</v>
      </c>
      <c r="M1156" s="16" t="s">
        <v>5538</v>
      </c>
      <c r="N1156" s="16"/>
      <c r="O1156" s="16"/>
    </row>
    <row r="1157" spans="1:15" x14ac:dyDescent="0.3">
      <c r="A1157" s="16">
        <v>1156</v>
      </c>
      <c r="B1157" s="16" t="s">
        <v>1641</v>
      </c>
      <c r="C1157" s="16" t="str">
        <f>"YT9781264278305_39"</f>
        <v>YT9781264278305_39</v>
      </c>
      <c r="D1157" s="16" t="s">
        <v>5539</v>
      </c>
      <c r="E1157" s="16" t="s">
        <v>5414</v>
      </c>
      <c r="F1157" s="21">
        <v>9781264278305</v>
      </c>
      <c r="G1157" s="16" t="s">
        <v>796</v>
      </c>
      <c r="H1157" s="16" t="s">
        <v>13</v>
      </c>
      <c r="I1157" s="16">
        <v>2020</v>
      </c>
      <c r="J1157" s="16" t="s">
        <v>5540</v>
      </c>
      <c r="K1157" s="16" t="s">
        <v>2936</v>
      </c>
      <c r="L1157" s="16" t="s">
        <v>15</v>
      </c>
      <c r="M1157" s="16" t="s">
        <v>5541</v>
      </c>
      <c r="N1157" s="16"/>
      <c r="O1157" s="16"/>
    </row>
    <row r="1158" spans="1:15" x14ac:dyDescent="0.3">
      <c r="A1158" s="16">
        <v>1157</v>
      </c>
      <c r="B1158" s="16" t="s">
        <v>1641</v>
      </c>
      <c r="C1158" s="16" t="str">
        <f>"YT9781264278305_40"</f>
        <v>YT9781264278305_40</v>
      </c>
      <c r="D1158" s="16" t="s">
        <v>5542</v>
      </c>
      <c r="E1158" s="16" t="s">
        <v>5414</v>
      </c>
      <c r="F1158" s="21">
        <v>9781264278305</v>
      </c>
      <c r="G1158" s="16" t="s">
        <v>796</v>
      </c>
      <c r="H1158" s="16" t="s">
        <v>13</v>
      </c>
      <c r="I1158" s="16">
        <v>2020</v>
      </c>
      <c r="J1158" s="16" t="s">
        <v>5543</v>
      </c>
      <c r="K1158" s="16" t="s">
        <v>5544</v>
      </c>
      <c r="L1158" s="16" t="s">
        <v>15</v>
      </c>
      <c r="M1158" s="16" t="s">
        <v>5545</v>
      </c>
      <c r="N1158" s="16"/>
      <c r="O1158" s="16"/>
    </row>
    <row r="1159" spans="1:15" x14ac:dyDescent="0.3">
      <c r="A1159" s="16">
        <v>1158</v>
      </c>
      <c r="B1159" s="16" t="s">
        <v>1641</v>
      </c>
      <c r="C1159" s="16" t="str">
        <f>"YT9781264278305_41"</f>
        <v>YT9781264278305_41</v>
      </c>
      <c r="D1159" s="16" t="s">
        <v>5546</v>
      </c>
      <c r="E1159" s="16" t="s">
        <v>5414</v>
      </c>
      <c r="F1159" s="21">
        <v>9781264278305</v>
      </c>
      <c r="G1159" s="16" t="s">
        <v>796</v>
      </c>
      <c r="H1159" s="16" t="s">
        <v>13</v>
      </c>
      <c r="I1159" s="16">
        <v>2020</v>
      </c>
      <c r="J1159" s="16" t="s">
        <v>5547</v>
      </c>
      <c r="K1159" s="16" t="s">
        <v>5548</v>
      </c>
      <c r="L1159" s="16" t="s">
        <v>15</v>
      </c>
      <c r="M1159" s="16" t="s">
        <v>5549</v>
      </c>
      <c r="N1159" s="16"/>
      <c r="O1159" s="16"/>
    </row>
    <row r="1160" spans="1:15" x14ac:dyDescent="0.3">
      <c r="A1160" s="16">
        <v>1159</v>
      </c>
      <c r="B1160" s="16" t="s">
        <v>1641</v>
      </c>
      <c r="C1160" s="16" t="str">
        <f>"YT9781264278305_42"</f>
        <v>YT9781264278305_42</v>
      </c>
      <c r="D1160" s="16" t="s">
        <v>5550</v>
      </c>
      <c r="E1160" s="16" t="s">
        <v>5414</v>
      </c>
      <c r="F1160" s="21">
        <v>9781264278305</v>
      </c>
      <c r="G1160" s="16" t="s">
        <v>796</v>
      </c>
      <c r="H1160" s="16" t="s">
        <v>13</v>
      </c>
      <c r="I1160" s="16">
        <v>2020</v>
      </c>
      <c r="J1160" s="16" t="s">
        <v>5551</v>
      </c>
      <c r="K1160" s="16" t="s">
        <v>2936</v>
      </c>
      <c r="L1160" s="16" t="s">
        <v>15</v>
      </c>
      <c r="M1160" s="16" t="s">
        <v>5552</v>
      </c>
      <c r="N1160" s="16"/>
      <c r="O1160" s="16"/>
    </row>
    <row r="1161" spans="1:15" x14ac:dyDescent="0.3">
      <c r="A1161" s="16">
        <v>1160</v>
      </c>
      <c r="B1161" s="16" t="s">
        <v>1641</v>
      </c>
      <c r="C1161" s="16" t="str">
        <f>"YT9781264278305_43"</f>
        <v>YT9781264278305_43</v>
      </c>
      <c r="D1161" s="16" t="s">
        <v>5553</v>
      </c>
      <c r="E1161" s="16" t="s">
        <v>5414</v>
      </c>
      <c r="F1161" s="21">
        <v>9781264278305</v>
      </c>
      <c r="G1161" s="16" t="s">
        <v>796</v>
      </c>
      <c r="H1161" s="16" t="s">
        <v>13</v>
      </c>
      <c r="I1161" s="16">
        <v>2020</v>
      </c>
      <c r="J1161" s="16" t="s">
        <v>5554</v>
      </c>
      <c r="K1161" s="16" t="s">
        <v>2873</v>
      </c>
      <c r="L1161" s="16" t="s">
        <v>15</v>
      </c>
      <c r="M1161" s="16" t="s">
        <v>5555</v>
      </c>
      <c r="N1161" s="16"/>
      <c r="O1161" s="16"/>
    </row>
    <row r="1162" spans="1:15" x14ac:dyDescent="0.3">
      <c r="A1162" s="16">
        <v>1161</v>
      </c>
      <c r="B1162" s="16" t="s">
        <v>1641</v>
      </c>
      <c r="C1162" s="16" t="str">
        <f>"YT9781264278305_44"</f>
        <v>YT9781264278305_44</v>
      </c>
      <c r="D1162" s="16" t="s">
        <v>5556</v>
      </c>
      <c r="E1162" s="16" t="s">
        <v>5414</v>
      </c>
      <c r="F1162" s="21">
        <v>9781264278305</v>
      </c>
      <c r="G1162" s="16" t="s">
        <v>796</v>
      </c>
      <c r="H1162" s="16" t="s">
        <v>13</v>
      </c>
      <c r="I1162" s="16">
        <v>2020</v>
      </c>
      <c r="J1162" s="16" t="s">
        <v>5557</v>
      </c>
      <c r="K1162" s="16" t="s">
        <v>4126</v>
      </c>
      <c r="L1162" s="16" t="s">
        <v>15</v>
      </c>
      <c r="M1162" s="16" t="s">
        <v>5558</v>
      </c>
      <c r="N1162" s="16"/>
      <c r="O1162" s="16"/>
    </row>
    <row r="1163" spans="1:15" x14ac:dyDescent="0.3">
      <c r="A1163" s="16">
        <v>1162</v>
      </c>
      <c r="B1163" s="16" t="s">
        <v>1641</v>
      </c>
      <c r="C1163" s="16" t="str">
        <f>"YT9781264278305_45"</f>
        <v>YT9781264278305_45</v>
      </c>
      <c r="D1163" s="16" t="s">
        <v>5559</v>
      </c>
      <c r="E1163" s="16" t="s">
        <v>5414</v>
      </c>
      <c r="F1163" s="21">
        <v>9781264278305</v>
      </c>
      <c r="G1163" s="16" t="s">
        <v>796</v>
      </c>
      <c r="H1163" s="16" t="s">
        <v>13</v>
      </c>
      <c r="I1163" s="16">
        <v>2020</v>
      </c>
      <c r="J1163" s="16" t="s">
        <v>5560</v>
      </c>
      <c r="K1163" s="16" t="s">
        <v>2873</v>
      </c>
      <c r="L1163" s="16" t="s">
        <v>15</v>
      </c>
      <c r="M1163" s="16" t="s">
        <v>5561</v>
      </c>
      <c r="N1163" s="16"/>
      <c r="O1163" s="16"/>
    </row>
    <row r="1164" spans="1:15" x14ac:dyDescent="0.3">
      <c r="A1164" s="16">
        <v>1163</v>
      </c>
      <c r="B1164" s="16" t="s">
        <v>1641</v>
      </c>
      <c r="C1164" s="16" t="str">
        <f>"YT9781264278305_46"</f>
        <v>YT9781264278305_46</v>
      </c>
      <c r="D1164" s="16" t="s">
        <v>5562</v>
      </c>
      <c r="E1164" s="16" t="s">
        <v>5414</v>
      </c>
      <c r="F1164" s="21">
        <v>9781264278305</v>
      </c>
      <c r="G1164" s="16" t="s">
        <v>796</v>
      </c>
      <c r="H1164" s="16" t="s">
        <v>13</v>
      </c>
      <c r="I1164" s="16">
        <v>2020</v>
      </c>
      <c r="J1164" s="16" t="s">
        <v>5563</v>
      </c>
      <c r="K1164" s="16" t="s">
        <v>5564</v>
      </c>
      <c r="L1164" s="16" t="s">
        <v>15</v>
      </c>
      <c r="M1164" s="16" t="s">
        <v>5565</v>
      </c>
      <c r="N1164" s="16"/>
      <c r="O1164" s="16"/>
    </row>
    <row r="1165" spans="1:15" x14ac:dyDescent="0.3">
      <c r="A1165" s="16">
        <v>1164</v>
      </c>
      <c r="B1165" s="16" t="s">
        <v>1641</v>
      </c>
      <c r="C1165" s="16" t="str">
        <f>"YT9781264278305_47"</f>
        <v>YT9781264278305_47</v>
      </c>
      <c r="D1165" s="16" t="s">
        <v>5566</v>
      </c>
      <c r="E1165" s="16" t="s">
        <v>5414</v>
      </c>
      <c r="F1165" s="21">
        <v>9781264278305</v>
      </c>
      <c r="G1165" s="16" t="s">
        <v>796</v>
      </c>
      <c r="H1165" s="16" t="s">
        <v>13</v>
      </c>
      <c r="I1165" s="16">
        <v>2020</v>
      </c>
      <c r="J1165" s="16" t="s">
        <v>5567</v>
      </c>
      <c r="K1165" s="16" t="s">
        <v>5568</v>
      </c>
      <c r="L1165" s="16" t="s">
        <v>15</v>
      </c>
      <c r="M1165" s="16" t="s">
        <v>5569</v>
      </c>
      <c r="N1165" s="16"/>
      <c r="O1165" s="16"/>
    </row>
    <row r="1166" spans="1:15" x14ac:dyDescent="0.3">
      <c r="A1166" s="16">
        <v>1165</v>
      </c>
      <c r="B1166" s="16" t="s">
        <v>1641</v>
      </c>
      <c r="C1166" s="16" t="str">
        <f>"YT9781264278305_48"</f>
        <v>YT9781264278305_48</v>
      </c>
      <c r="D1166" s="16" t="s">
        <v>5570</v>
      </c>
      <c r="E1166" s="16" t="s">
        <v>5414</v>
      </c>
      <c r="F1166" s="21">
        <v>9781264278305</v>
      </c>
      <c r="G1166" s="16" t="s">
        <v>796</v>
      </c>
      <c r="H1166" s="16" t="s">
        <v>13</v>
      </c>
      <c r="I1166" s="16">
        <v>2020</v>
      </c>
      <c r="J1166" s="16" t="s">
        <v>5571</v>
      </c>
      <c r="K1166" s="16" t="s">
        <v>64</v>
      </c>
      <c r="L1166" s="16" t="s">
        <v>15</v>
      </c>
      <c r="M1166" s="16" t="s">
        <v>5572</v>
      </c>
      <c r="N1166" s="16"/>
      <c r="O1166" s="16"/>
    </row>
    <row r="1167" spans="1:15" x14ac:dyDescent="0.3">
      <c r="A1167" s="16">
        <v>1166</v>
      </c>
      <c r="B1167" s="16" t="s">
        <v>1641</v>
      </c>
      <c r="C1167" s="16" t="str">
        <f>"YT9781264278305_49"</f>
        <v>YT9781264278305_49</v>
      </c>
      <c r="D1167" s="16" t="s">
        <v>5573</v>
      </c>
      <c r="E1167" s="16" t="s">
        <v>5414</v>
      </c>
      <c r="F1167" s="21">
        <v>9781264278305</v>
      </c>
      <c r="G1167" s="16" t="s">
        <v>796</v>
      </c>
      <c r="H1167" s="16" t="s">
        <v>13</v>
      </c>
      <c r="I1167" s="16">
        <v>2020</v>
      </c>
      <c r="J1167" s="16" t="s">
        <v>5574</v>
      </c>
      <c r="K1167" s="16" t="s">
        <v>1954</v>
      </c>
      <c r="L1167" s="16" t="s">
        <v>15</v>
      </c>
      <c r="M1167" s="16" t="s">
        <v>5575</v>
      </c>
      <c r="N1167" s="16"/>
      <c r="O1167" s="16"/>
    </row>
    <row r="1168" spans="1:15" x14ac:dyDescent="0.3">
      <c r="A1168" s="16">
        <v>1167</v>
      </c>
      <c r="B1168" s="16" t="s">
        <v>1641</v>
      </c>
      <c r="C1168" s="16" t="str">
        <f>"YT9781264278305_50"</f>
        <v>YT9781264278305_50</v>
      </c>
      <c r="D1168" s="16" t="s">
        <v>5576</v>
      </c>
      <c r="E1168" s="16" t="s">
        <v>5414</v>
      </c>
      <c r="F1168" s="21">
        <v>9781264278305</v>
      </c>
      <c r="G1168" s="16" t="s">
        <v>796</v>
      </c>
      <c r="H1168" s="16" t="s">
        <v>13</v>
      </c>
      <c r="I1168" s="16">
        <v>2020</v>
      </c>
      <c r="J1168" s="16" t="s">
        <v>5577</v>
      </c>
      <c r="K1168" s="16" t="s">
        <v>1954</v>
      </c>
      <c r="L1168" s="16" t="s">
        <v>15</v>
      </c>
      <c r="M1168" s="16" t="s">
        <v>5578</v>
      </c>
      <c r="N1168" s="16"/>
      <c r="O1168" s="16"/>
    </row>
    <row r="1169" spans="1:15" x14ac:dyDescent="0.3">
      <c r="A1169" s="16">
        <v>1168</v>
      </c>
      <c r="B1169" s="16" t="s">
        <v>1641</v>
      </c>
      <c r="C1169" s="16" t="str">
        <f>"YT9781264278305_51"</f>
        <v>YT9781264278305_51</v>
      </c>
      <c r="D1169" s="16" t="s">
        <v>5579</v>
      </c>
      <c r="E1169" s="16" t="s">
        <v>5414</v>
      </c>
      <c r="F1169" s="21">
        <v>9781264278305</v>
      </c>
      <c r="G1169" s="16" t="s">
        <v>796</v>
      </c>
      <c r="H1169" s="16" t="s">
        <v>13</v>
      </c>
      <c r="I1169" s="16">
        <v>2020</v>
      </c>
      <c r="J1169" s="16" t="s">
        <v>5580</v>
      </c>
      <c r="K1169" s="16" t="s">
        <v>4126</v>
      </c>
      <c r="L1169" s="16" t="s">
        <v>15</v>
      </c>
      <c r="M1169" s="16" t="s">
        <v>5581</v>
      </c>
      <c r="N1169" s="16"/>
      <c r="O1169" s="16"/>
    </row>
    <row r="1170" spans="1:15" x14ac:dyDescent="0.3">
      <c r="A1170" s="16">
        <v>1169</v>
      </c>
      <c r="B1170" s="16" t="s">
        <v>1641</v>
      </c>
      <c r="C1170" s="16" t="str">
        <f>"YT9781264278305_52"</f>
        <v>YT9781264278305_52</v>
      </c>
      <c r="D1170" s="16" t="s">
        <v>5582</v>
      </c>
      <c r="E1170" s="16" t="s">
        <v>5414</v>
      </c>
      <c r="F1170" s="21">
        <v>9781264278305</v>
      </c>
      <c r="G1170" s="16" t="s">
        <v>796</v>
      </c>
      <c r="H1170" s="16" t="s">
        <v>13</v>
      </c>
      <c r="I1170" s="16">
        <v>2020</v>
      </c>
      <c r="J1170" s="16" t="s">
        <v>5583</v>
      </c>
      <c r="K1170" s="16" t="s">
        <v>4126</v>
      </c>
      <c r="L1170" s="16" t="s">
        <v>15</v>
      </c>
      <c r="M1170" s="16" t="s">
        <v>5584</v>
      </c>
      <c r="N1170" s="16"/>
      <c r="O1170" s="16"/>
    </row>
    <row r="1171" spans="1:15" x14ac:dyDescent="0.3">
      <c r="A1171" s="16">
        <v>1170</v>
      </c>
      <c r="B1171" s="16" t="s">
        <v>1641</v>
      </c>
      <c r="C1171" s="16" t="str">
        <f>"YT9781264278305_53"</f>
        <v>YT9781264278305_53</v>
      </c>
      <c r="D1171" s="16" t="s">
        <v>5585</v>
      </c>
      <c r="E1171" s="16" t="s">
        <v>5414</v>
      </c>
      <c r="F1171" s="21">
        <v>9781264278305</v>
      </c>
      <c r="G1171" s="16" t="s">
        <v>796</v>
      </c>
      <c r="H1171" s="16" t="s">
        <v>13</v>
      </c>
      <c r="I1171" s="16">
        <v>2020</v>
      </c>
      <c r="J1171" s="16" t="s">
        <v>5586</v>
      </c>
      <c r="K1171" s="16" t="s">
        <v>5587</v>
      </c>
      <c r="L1171" s="16" t="s">
        <v>15</v>
      </c>
      <c r="M1171" s="16" t="s">
        <v>5588</v>
      </c>
      <c r="N1171" s="16"/>
      <c r="O1171" s="16"/>
    </row>
    <row r="1172" spans="1:15" x14ac:dyDescent="0.3">
      <c r="A1172" s="16">
        <v>1171</v>
      </c>
      <c r="B1172" s="16" t="s">
        <v>1641</v>
      </c>
      <c r="C1172" s="16" t="str">
        <f>"YT9781264278305_54"</f>
        <v>YT9781264278305_54</v>
      </c>
      <c r="D1172" s="16" t="s">
        <v>5589</v>
      </c>
      <c r="E1172" s="16" t="s">
        <v>5414</v>
      </c>
      <c r="F1172" s="21">
        <v>9781264278305</v>
      </c>
      <c r="G1172" s="16" t="s">
        <v>796</v>
      </c>
      <c r="H1172" s="16" t="s">
        <v>13</v>
      </c>
      <c r="I1172" s="16">
        <v>2020</v>
      </c>
      <c r="J1172" s="16" t="s">
        <v>5590</v>
      </c>
      <c r="K1172" s="16" t="s">
        <v>4126</v>
      </c>
      <c r="L1172" s="16" t="s">
        <v>15</v>
      </c>
      <c r="M1172" s="16" t="s">
        <v>5591</v>
      </c>
      <c r="N1172" s="16"/>
      <c r="O1172" s="16"/>
    </row>
    <row r="1173" spans="1:15" x14ac:dyDescent="0.3">
      <c r="A1173" s="16">
        <v>1172</v>
      </c>
      <c r="B1173" s="16" t="s">
        <v>1641</v>
      </c>
      <c r="C1173" s="16" t="str">
        <f>"YT9781264278305_55"</f>
        <v>YT9781264278305_55</v>
      </c>
      <c r="D1173" s="16" t="s">
        <v>5592</v>
      </c>
      <c r="E1173" s="16" t="s">
        <v>5414</v>
      </c>
      <c r="F1173" s="21">
        <v>9781264278305</v>
      </c>
      <c r="G1173" s="16" t="s">
        <v>796</v>
      </c>
      <c r="H1173" s="16" t="s">
        <v>13</v>
      </c>
      <c r="I1173" s="16">
        <v>2020</v>
      </c>
      <c r="J1173" s="16" t="s">
        <v>5593</v>
      </c>
      <c r="K1173" s="16" t="s">
        <v>4287</v>
      </c>
      <c r="L1173" s="16" t="s">
        <v>15</v>
      </c>
      <c r="M1173" s="16" t="s">
        <v>5594</v>
      </c>
      <c r="N1173" s="16"/>
      <c r="O1173" s="16"/>
    </row>
    <row r="1174" spans="1:15" x14ac:dyDescent="0.3">
      <c r="A1174" s="16">
        <v>1173</v>
      </c>
      <c r="B1174" s="16" t="s">
        <v>1641</v>
      </c>
      <c r="C1174" s="16" t="str">
        <f>"YT9781264278305_56"</f>
        <v>YT9781264278305_56</v>
      </c>
      <c r="D1174" s="16" t="s">
        <v>5595</v>
      </c>
      <c r="E1174" s="16" t="s">
        <v>5414</v>
      </c>
      <c r="F1174" s="21">
        <v>9781264278305</v>
      </c>
      <c r="G1174" s="16" t="s">
        <v>796</v>
      </c>
      <c r="H1174" s="16" t="s">
        <v>13</v>
      </c>
      <c r="I1174" s="16">
        <v>2020</v>
      </c>
      <c r="J1174" s="16" t="s">
        <v>5596</v>
      </c>
      <c r="K1174" s="16" t="s">
        <v>4287</v>
      </c>
      <c r="L1174" s="16" t="s">
        <v>15</v>
      </c>
      <c r="M1174" s="16" t="s">
        <v>5597</v>
      </c>
      <c r="N1174" s="16"/>
      <c r="O1174" s="16"/>
    </row>
    <row r="1175" spans="1:15" x14ac:dyDescent="0.3">
      <c r="A1175" s="16">
        <v>1174</v>
      </c>
      <c r="B1175" s="16" t="s">
        <v>1641</v>
      </c>
      <c r="C1175" s="16" t="str">
        <f>"YT9781264278305_57"</f>
        <v>YT9781264278305_57</v>
      </c>
      <c r="D1175" s="16" t="s">
        <v>5598</v>
      </c>
      <c r="E1175" s="16" t="s">
        <v>5414</v>
      </c>
      <c r="F1175" s="21">
        <v>9781264278305</v>
      </c>
      <c r="G1175" s="16" t="s">
        <v>796</v>
      </c>
      <c r="H1175" s="16" t="s">
        <v>13</v>
      </c>
      <c r="I1175" s="16">
        <v>2020</v>
      </c>
      <c r="J1175" s="16" t="s">
        <v>5599</v>
      </c>
      <c r="K1175" s="16" t="s">
        <v>1954</v>
      </c>
      <c r="L1175" s="16" t="s">
        <v>15</v>
      </c>
      <c r="M1175" s="16" t="s">
        <v>5600</v>
      </c>
      <c r="N1175" s="16"/>
      <c r="O1175" s="16"/>
    </row>
    <row r="1176" spans="1:15" x14ac:dyDescent="0.3">
      <c r="A1176" s="16">
        <v>1175</v>
      </c>
      <c r="B1176" s="16" t="s">
        <v>1641</v>
      </c>
      <c r="C1176" s="16" t="str">
        <f>"YT9781264278305_58"</f>
        <v>YT9781264278305_58</v>
      </c>
      <c r="D1176" s="16" t="s">
        <v>5601</v>
      </c>
      <c r="E1176" s="16" t="s">
        <v>5414</v>
      </c>
      <c r="F1176" s="21">
        <v>9781264278305</v>
      </c>
      <c r="G1176" s="16" t="s">
        <v>796</v>
      </c>
      <c r="H1176" s="16" t="s">
        <v>13</v>
      </c>
      <c r="I1176" s="16">
        <v>2020</v>
      </c>
      <c r="J1176" s="16" t="s">
        <v>5602</v>
      </c>
      <c r="K1176" s="16" t="s">
        <v>1954</v>
      </c>
      <c r="L1176" s="16" t="s">
        <v>15</v>
      </c>
      <c r="M1176" s="16" t="s">
        <v>5603</v>
      </c>
      <c r="N1176" s="16"/>
      <c r="O1176" s="16"/>
    </row>
    <row r="1177" spans="1:15" x14ac:dyDescent="0.3">
      <c r="A1177" s="16">
        <v>1176</v>
      </c>
      <c r="B1177" s="16" t="s">
        <v>1641</v>
      </c>
      <c r="C1177" s="16" t="str">
        <f>"YT9781264278305_59"</f>
        <v>YT9781264278305_59</v>
      </c>
      <c r="D1177" s="16" t="s">
        <v>5604</v>
      </c>
      <c r="E1177" s="16" t="s">
        <v>5414</v>
      </c>
      <c r="F1177" s="21">
        <v>9781264278305</v>
      </c>
      <c r="G1177" s="16" t="s">
        <v>796</v>
      </c>
      <c r="H1177" s="16" t="s">
        <v>13</v>
      </c>
      <c r="I1177" s="16">
        <v>2020</v>
      </c>
      <c r="J1177" s="16" t="s">
        <v>5605</v>
      </c>
      <c r="K1177" s="16" t="s">
        <v>1954</v>
      </c>
      <c r="L1177" s="16" t="s">
        <v>15</v>
      </c>
      <c r="M1177" s="16" t="s">
        <v>5606</v>
      </c>
      <c r="N1177" s="16"/>
      <c r="O1177" s="16"/>
    </row>
    <row r="1178" spans="1:15" x14ac:dyDescent="0.3">
      <c r="A1178" s="16">
        <v>1177</v>
      </c>
      <c r="B1178" s="16" t="s">
        <v>1641</v>
      </c>
      <c r="C1178" s="16" t="str">
        <f>"YT9781264278305_60"</f>
        <v>YT9781264278305_60</v>
      </c>
      <c r="D1178" s="16" t="s">
        <v>5607</v>
      </c>
      <c r="E1178" s="16" t="s">
        <v>5414</v>
      </c>
      <c r="F1178" s="21">
        <v>9781264278305</v>
      </c>
      <c r="G1178" s="16" t="s">
        <v>796</v>
      </c>
      <c r="H1178" s="16" t="s">
        <v>13</v>
      </c>
      <c r="I1178" s="16">
        <v>2020</v>
      </c>
      <c r="J1178" s="16" t="s">
        <v>5608</v>
      </c>
      <c r="K1178" s="16" t="s">
        <v>4126</v>
      </c>
      <c r="L1178" s="16" t="s">
        <v>15</v>
      </c>
      <c r="M1178" s="16" t="s">
        <v>5609</v>
      </c>
      <c r="N1178" s="16"/>
      <c r="O1178" s="16"/>
    </row>
    <row r="1179" spans="1:15" x14ac:dyDescent="0.3">
      <c r="A1179" s="16">
        <v>1178</v>
      </c>
      <c r="B1179" s="16" t="s">
        <v>1641</v>
      </c>
      <c r="C1179" s="16" t="str">
        <f>"YT9781264278305_61"</f>
        <v>YT9781264278305_61</v>
      </c>
      <c r="D1179" s="16" t="s">
        <v>5610</v>
      </c>
      <c r="E1179" s="16" t="s">
        <v>5414</v>
      </c>
      <c r="F1179" s="21">
        <v>9781264278305</v>
      </c>
      <c r="G1179" s="16" t="s">
        <v>796</v>
      </c>
      <c r="H1179" s="16" t="s">
        <v>13</v>
      </c>
      <c r="I1179" s="16">
        <v>2020</v>
      </c>
      <c r="J1179" s="16" t="s">
        <v>5611</v>
      </c>
      <c r="K1179" s="16" t="s">
        <v>1617</v>
      </c>
      <c r="L1179" s="16" t="s">
        <v>15</v>
      </c>
      <c r="M1179" s="16" t="s">
        <v>5612</v>
      </c>
      <c r="N1179" s="16"/>
      <c r="O1179" s="16"/>
    </row>
    <row r="1180" spans="1:15" x14ac:dyDescent="0.3">
      <c r="A1180" s="16">
        <v>1179</v>
      </c>
      <c r="B1180" s="16" t="s">
        <v>1641</v>
      </c>
      <c r="C1180" s="16" t="str">
        <f>"YT9781264278305_62"</f>
        <v>YT9781264278305_62</v>
      </c>
      <c r="D1180" s="16" t="s">
        <v>5613</v>
      </c>
      <c r="E1180" s="16" t="s">
        <v>5414</v>
      </c>
      <c r="F1180" s="21">
        <v>9781264278305</v>
      </c>
      <c r="G1180" s="16" t="s">
        <v>796</v>
      </c>
      <c r="H1180" s="16" t="s">
        <v>13</v>
      </c>
      <c r="I1180" s="16">
        <v>2020</v>
      </c>
      <c r="J1180" s="16" t="s">
        <v>5614</v>
      </c>
      <c r="K1180" s="16" t="s">
        <v>4287</v>
      </c>
      <c r="L1180" s="16" t="s">
        <v>15</v>
      </c>
      <c r="M1180" s="16" t="s">
        <v>5615</v>
      </c>
      <c r="N1180" s="16"/>
      <c r="O1180" s="16"/>
    </row>
    <row r="1181" spans="1:15" x14ac:dyDescent="0.3">
      <c r="A1181" s="16">
        <v>1180</v>
      </c>
      <c r="B1181" s="16" t="s">
        <v>1641</v>
      </c>
      <c r="C1181" s="16" t="str">
        <f>"YT9781264278305_63"</f>
        <v>YT9781264278305_63</v>
      </c>
      <c r="D1181" s="16" t="s">
        <v>5616</v>
      </c>
      <c r="E1181" s="16" t="s">
        <v>5414</v>
      </c>
      <c r="F1181" s="21">
        <v>9781264278305</v>
      </c>
      <c r="G1181" s="16" t="s">
        <v>796</v>
      </c>
      <c r="H1181" s="16" t="s">
        <v>13</v>
      </c>
      <c r="I1181" s="16">
        <v>2020</v>
      </c>
      <c r="J1181" s="16" t="s">
        <v>5617</v>
      </c>
      <c r="K1181" s="16" t="s">
        <v>5019</v>
      </c>
      <c r="L1181" s="16" t="s">
        <v>15</v>
      </c>
      <c r="M1181" s="16" t="s">
        <v>5618</v>
      </c>
      <c r="N1181" s="16"/>
      <c r="O1181" s="16"/>
    </row>
    <row r="1182" spans="1:15" x14ac:dyDescent="0.3">
      <c r="A1182" s="16">
        <v>1181</v>
      </c>
      <c r="B1182" s="16" t="s">
        <v>1641</v>
      </c>
      <c r="C1182" s="16" t="str">
        <f>"YT9781264278305_64"</f>
        <v>YT9781264278305_64</v>
      </c>
      <c r="D1182" s="16" t="s">
        <v>5619</v>
      </c>
      <c r="E1182" s="16" t="s">
        <v>5414</v>
      </c>
      <c r="F1182" s="21">
        <v>9781264278305</v>
      </c>
      <c r="G1182" s="16" t="s">
        <v>796</v>
      </c>
      <c r="H1182" s="16" t="s">
        <v>13</v>
      </c>
      <c r="I1182" s="16">
        <v>2020</v>
      </c>
      <c r="J1182" s="16" t="s">
        <v>5620</v>
      </c>
      <c r="K1182" s="16" t="s">
        <v>1926</v>
      </c>
      <c r="L1182" s="16" t="s">
        <v>15</v>
      </c>
      <c r="M1182" s="16" t="s">
        <v>5621</v>
      </c>
      <c r="N1182" s="16"/>
      <c r="O1182" s="16"/>
    </row>
    <row r="1183" spans="1:15" x14ac:dyDescent="0.3">
      <c r="A1183" s="16">
        <v>1182</v>
      </c>
      <c r="B1183" s="16" t="s">
        <v>1641</v>
      </c>
      <c r="C1183" s="16" t="str">
        <f>"YT9781264278305_65"</f>
        <v>YT9781264278305_65</v>
      </c>
      <c r="D1183" s="16" t="s">
        <v>5622</v>
      </c>
      <c r="E1183" s="16" t="s">
        <v>5414</v>
      </c>
      <c r="F1183" s="21">
        <v>9781264278305</v>
      </c>
      <c r="G1183" s="16" t="s">
        <v>796</v>
      </c>
      <c r="H1183" s="16" t="s">
        <v>13</v>
      </c>
      <c r="I1183" s="16">
        <v>2020</v>
      </c>
      <c r="J1183" s="16" t="s">
        <v>5623</v>
      </c>
      <c r="K1183" s="16" t="s">
        <v>5019</v>
      </c>
      <c r="L1183" s="16" t="s">
        <v>15</v>
      </c>
      <c r="M1183" s="16" t="s">
        <v>5624</v>
      </c>
      <c r="N1183" s="16"/>
      <c r="O1183" s="16"/>
    </row>
    <row r="1184" spans="1:15" x14ac:dyDescent="0.3">
      <c r="A1184" s="16">
        <v>1183</v>
      </c>
      <c r="B1184" s="16" t="s">
        <v>1641</v>
      </c>
      <c r="C1184" s="16" t="str">
        <f>"YT9781264278305_66"</f>
        <v>YT9781264278305_66</v>
      </c>
      <c r="D1184" s="16" t="s">
        <v>5625</v>
      </c>
      <c r="E1184" s="16" t="s">
        <v>5414</v>
      </c>
      <c r="F1184" s="21">
        <v>9781264278305</v>
      </c>
      <c r="G1184" s="16" t="s">
        <v>796</v>
      </c>
      <c r="H1184" s="16" t="s">
        <v>13</v>
      </c>
      <c r="I1184" s="16">
        <v>2020</v>
      </c>
      <c r="J1184" s="16" t="s">
        <v>5626</v>
      </c>
      <c r="K1184" s="16" t="s">
        <v>5019</v>
      </c>
      <c r="L1184" s="16" t="s">
        <v>15</v>
      </c>
      <c r="M1184" s="16" t="s">
        <v>5627</v>
      </c>
      <c r="N1184" s="16"/>
      <c r="O1184" s="16"/>
    </row>
    <row r="1185" spans="1:15" x14ac:dyDescent="0.3">
      <c r="A1185" s="16">
        <v>1184</v>
      </c>
      <c r="B1185" s="16" t="s">
        <v>1641</v>
      </c>
      <c r="C1185" s="16" t="str">
        <f>"YT9781264278305_67"</f>
        <v>YT9781264278305_67</v>
      </c>
      <c r="D1185" s="16" t="s">
        <v>5628</v>
      </c>
      <c r="E1185" s="16" t="s">
        <v>5414</v>
      </c>
      <c r="F1185" s="21">
        <v>9781264278305</v>
      </c>
      <c r="G1185" s="16" t="s">
        <v>796</v>
      </c>
      <c r="H1185" s="16" t="s">
        <v>13</v>
      </c>
      <c r="I1185" s="16">
        <v>2020</v>
      </c>
      <c r="J1185" s="16" t="s">
        <v>5629</v>
      </c>
      <c r="K1185" s="16" t="s">
        <v>5630</v>
      </c>
      <c r="L1185" s="16" t="s">
        <v>15</v>
      </c>
      <c r="M1185" s="16" t="s">
        <v>5631</v>
      </c>
      <c r="N1185" s="16"/>
      <c r="O1185" s="16"/>
    </row>
    <row r="1186" spans="1:15" x14ac:dyDescent="0.3">
      <c r="A1186" s="16">
        <v>1185</v>
      </c>
      <c r="B1186" s="16" t="s">
        <v>1641</v>
      </c>
      <c r="C1186" s="16" t="str">
        <f>"YT9781264278305_68"</f>
        <v>YT9781264278305_68</v>
      </c>
      <c r="D1186" s="16" t="s">
        <v>5632</v>
      </c>
      <c r="E1186" s="16" t="s">
        <v>5414</v>
      </c>
      <c r="F1186" s="21">
        <v>9781264278305</v>
      </c>
      <c r="G1186" s="16" t="s">
        <v>796</v>
      </c>
      <c r="H1186" s="16" t="s">
        <v>13</v>
      </c>
      <c r="I1186" s="16">
        <v>2020</v>
      </c>
      <c r="J1186" s="16" t="s">
        <v>5633</v>
      </c>
      <c r="K1186" s="16" t="s">
        <v>1954</v>
      </c>
      <c r="L1186" s="16" t="s">
        <v>15</v>
      </c>
      <c r="M1186" s="16" t="s">
        <v>5634</v>
      </c>
      <c r="N1186" s="16"/>
      <c r="O1186" s="16"/>
    </row>
    <row r="1187" spans="1:15" x14ac:dyDescent="0.3">
      <c r="A1187" s="16">
        <v>1186</v>
      </c>
      <c r="B1187" s="16" t="s">
        <v>1641</v>
      </c>
      <c r="C1187" s="16" t="str">
        <f>"YT9781264278305_69"</f>
        <v>YT9781264278305_69</v>
      </c>
      <c r="D1187" s="16" t="s">
        <v>5635</v>
      </c>
      <c r="E1187" s="16" t="s">
        <v>5414</v>
      </c>
      <c r="F1187" s="21">
        <v>9781264278305</v>
      </c>
      <c r="G1187" s="16" t="s">
        <v>796</v>
      </c>
      <c r="H1187" s="16" t="s">
        <v>13</v>
      </c>
      <c r="I1187" s="16">
        <v>2020</v>
      </c>
      <c r="J1187" s="16" t="s">
        <v>5636</v>
      </c>
      <c r="K1187" s="16" t="s">
        <v>5568</v>
      </c>
      <c r="L1187" s="16" t="s">
        <v>15</v>
      </c>
      <c r="M1187" s="16" t="s">
        <v>5637</v>
      </c>
      <c r="N1187" s="16"/>
      <c r="O1187" s="16"/>
    </row>
    <row r="1188" spans="1:15" x14ac:dyDescent="0.3">
      <c r="A1188" s="16">
        <v>1187</v>
      </c>
      <c r="B1188" s="16" t="s">
        <v>1641</v>
      </c>
      <c r="C1188" s="16" t="str">
        <f>"YT9781264278305_70"</f>
        <v>YT9781264278305_70</v>
      </c>
      <c r="D1188" s="16" t="s">
        <v>5638</v>
      </c>
      <c r="E1188" s="16" t="s">
        <v>5414</v>
      </c>
      <c r="F1188" s="21">
        <v>9781264278305</v>
      </c>
      <c r="G1188" s="16" t="s">
        <v>796</v>
      </c>
      <c r="H1188" s="16" t="s">
        <v>13</v>
      </c>
      <c r="I1188" s="16">
        <v>2020</v>
      </c>
      <c r="J1188" s="16" t="s">
        <v>5639</v>
      </c>
      <c r="K1188" s="16" t="s">
        <v>4126</v>
      </c>
      <c r="L1188" s="16" t="s">
        <v>15</v>
      </c>
      <c r="M1188" s="16" t="s">
        <v>5640</v>
      </c>
      <c r="N1188" s="16"/>
      <c r="O1188" s="16"/>
    </row>
    <row r="1189" spans="1:15" x14ac:dyDescent="0.3">
      <c r="A1189" s="16">
        <v>1188</v>
      </c>
      <c r="B1189" s="16" t="s">
        <v>1641</v>
      </c>
      <c r="C1189" s="16" t="str">
        <f>"YT9781264278305_71"</f>
        <v>YT9781264278305_71</v>
      </c>
      <c r="D1189" s="16" t="s">
        <v>5641</v>
      </c>
      <c r="E1189" s="16" t="s">
        <v>5414</v>
      </c>
      <c r="F1189" s="21">
        <v>9781264278305</v>
      </c>
      <c r="G1189" s="16" t="s">
        <v>796</v>
      </c>
      <c r="H1189" s="16" t="s">
        <v>13</v>
      </c>
      <c r="I1189" s="16">
        <v>2020</v>
      </c>
      <c r="J1189" s="16" t="s">
        <v>5642</v>
      </c>
      <c r="K1189" s="16" t="s">
        <v>4287</v>
      </c>
      <c r="L1189" s="16" t="s">
        <v>15</v>
      </c>
      <c r="M1189" s="16" t="s">
        <v>5643</v>
      </c>
      <c r="N1189" s="16"/>
      <c r="O1189" s="16"/>
    </row>
    <row r="1190" spans="1:15" x14ac:dyDescent="0.3">
      <c r="A1190" s="16">
        <v>1189</v>
      </c>
      <c r="B1190" s="16" t="s">
        <v>1641</v>
      </c>
      <c r="C1190" s="16" t="str">
        <f>"YT9781264278305_72"</f>
        <v>YT9781264278305_72</v>
      </c>
      <c r="D1190" s="16" t="s">
        <v>5644</v>
      </c>
      <c r="E1190" s="16" t="s">
        <v>5414</v>
      </c>
      <c r="F1190" s="21">
        <v>9781264278305</v>
      </c>
      <c r="G1190" s="16" t="s">
        <v>796</v>
      </c>
      <c r="H1190" s="16" t="s">
        <v>13</v>
      </c>
      <c r="I1190" s="16">
        <v>2020</v>
      </c>
      <c r="J1190" s="16" t="s">
        <v>5645</v>
      </c>
      <c r="K1190" s="16" t="s">
        <v>5646</v>
      </c>
      <c r="L1190" s="16" t="s">
        <v>15</v>
      </c>
      <c r="M1190" s="16" t="s">
        <v>5647</v>
      </c>
      <c r="N1190" s="16"/>
      <c r="O1190" s="16"/>
    </row>
    <row r="1191" spans="1:15" x14ac:dyDescent="0.3">
      <c r="A1191" s="16">
        <v>1190</v>
      </c>
      <c r="B1191" s="16" t="s">
        <v>1641</v>
      </c>
      <c r="C1191" s="16" t="str">
        <f>"YT9781264278305_73"</f>
        <v>YT9781264278305_73</v>
      </c>
      <c r="D1191" s="16" t="s">
        <v>5648</v>
      </c>
      <c r="E1191" s="16" t="s">
        <v>5414</v>
      </c>
      <c r="F1191" s="21">
        <v>9781264278305</v>
      </c>
      <c r="G1191" s="16" t="s">
        <v>796</v>
      </c>
      <c r="H1191" s="16" t="s">
        <v>13</v>
      </c>
      <c r="I1191" s="16">
        <v>2020</v>
      </c>
      <c r="J1191" s="16" t="s">
        <v>5649</v>
      </c>
      <c r="K1191" s="16" t="s">
        <v>4126</v>
      </c>
      <c r="L1191" s="16" t="s">
        <v>15</v>
      </c>
      <c r="M1191" s="16" t="s">
        <v>5650</v>
      </c>
      <c r="N1191" s="16"/>
      <c r="O1191" s="16"/>
    </row>
    <row r="1192" spans="1:15" x14ac:dyDescent="0.3">
      <c r="A1192" s="16">
        <v>1191</v>
      </c>
      <c r="B1192" s="16" t="s">
        <v>1641</v>
      </c>
      <c r="C1192" s="16" t="str">
        <f>"YT9781264278305_74"</f>
        <v>YT9781264278305_74</v>
      </c>
      <c r="D1192" s="16" t="s">
        <v>5651</v>
      </c>
      <c r="E1192" s="16" t="s">
        <v>5414</v>
      </c>
      <c r="F1192" s="21">
        <v>9781264278305</v>
      </c>
      <c r="G1192" s="16" t="s">
        <v>796</v>
      </c>
      <c r="H1192" s="16" t="s">
        <v>13</v>
      </c>
      <c r="I1192" s="16">
        <v>2020</v>
      </c>
      <c r="J1192" s="16" t="s">
        <v>5652</v>
      </c>
      <c r="K1192" s="16" t="s">
        <v>4287</v>
      </c>
      <c r="L1192" s="16" t="s">
        <v>15</v>
      </c>
      <c r="M1192" s="16" t="s">
        <v>5653</v>
      </c>
      <c r="N1192" s="16"/>
      <c r="O1192" s="16"/>
    </row>
    <row r="1193" spans="1:15" x14ac:dyDescent="0.3">
      <c r="A1193" s="16">
        <v>1192</v>
      </c>
      <c r="B1193" s="16" t="s">
        <v>1641</v>
      </c>
      <c r="C1193" s="16" t="str">
        <f>"YT9781264278305_75"</f>
        <v>YT9781264278305_75</v>
      </c>
      <c r="D1193" s="16" t="s">
        <v>5654</v>
      </c>
      <c r="E1193" s="16" t="s">
        <v>5414</v>
      </c>
      <c r="F1193" s="21">
        <v>9781264278305</v>
      </c>
      <c r="G1193" s="16" t="s">
        <v>796</v>
      </c>
      <c r="H1193" s="16" t="s">
        <v>13</v>
      </c>
      <c r="I1193" s="16">
        <v>2020</v>
      </c>
      <c r="J1193" s="16" t="s">
        <v>5655</v>
      </c>
      <c r="K1193" s="16" t="s">
        <v>4287</v>
      </c>
      <c r="L1193" s="16" t="s">
        <v>15</v>
      </c>
      <c r="M1193" s="16" t="s">
        <v>5656</v>
      </c>
      <c r="N1193" s="16"/>
      <c r="O1193" s="16"/>
    </row>
    <row r="1194" spans="1:15" x14ac:dyDescent="0.3">
      <c r="A1194" s="16">
        <v>1193</v>
      </c>
      <c r="B1194" s="16" t="s">
        <v>1641</v>
      </c>
      <c r="C1194" s="16" t="str">
        <f>"YT9781264278305_76"</f>
        <v>YT9781264278305_76</v>
      </c>
      <c r="D1194" s="16" t="s">
        <v>5657</v>
      </c>
      <c r="E1194" s="16" t="s">
        <v>5414</v>
      </c>
      <c r="F1194" s="21">
        <v>9781264278305</v>
      </c>
      <c r="G1194" s="16" t="s">
        <v>796</v>
      </c>
      <c r="H1194" s="16" t="s">
        <v>13</v>
      </c>
      <c r="I1194" s="16">
        <v>2020</v>
      </c>
      <c r="J1194" s="16" t="s">
        <v>5658</v>
      </c>
      <c r="K1194" s="16" t="s">
        <v>4287</v>
      </c>
      <c r="L1194" s="16" t="s">
        <v>15</v>
      </c>
      <c r="M1194" s="16" t="s">
        <v>5659</v>
      </c>
      <c r="N1194" s="16"/>
      <c r="O1194" s="16"/>
    </row>
    <row r="1195" spans="1:15" x14ac:dyDescent="0.3">
      <c r="A1195" s="16">
        <v>1194</v>
      </c>
      <c r="B1195" s="16" t="s">
        <v>1641</v>
      </c>
      <c r="C1195" s="16" t="str">
        <f>"YT9781264278305_77"</f>
        <v>YT9781264278305_77</v>
      </c>
      <c r="D1195" s="16" t="s">
        <v>5660</v>
      </c>
      <c r="E1195" s="16" t="s">
        <v>5414</v>
      </c>
      <c r="F1195" s="21">
        <v>9781264278305</v>
      </c>
      <c r="G1195" s="16" t="s">
        <v>796</v>
      </c>
      <c r="H1195" s="16" t="s">
        <v>13</v>
      </c>
      <c r="I1195" s="16">
        <v>2020</v>
      </c>
      <c r="J1195" s="16" t="s">
        <v>5661</v>
      </c>
      <c r="K1195" s="16" t="s">
        <v>4126</v>
      </c>
      <c r="L1195" s="16" t="s">
        <v>15</v>
      </c>
      <c r="M1195" s="16" t="s">
        <v>5662</v>
      </c>
      <c r="N1195" s="16"/>
      <c r="O1195" s="16"/>
    </row>
    <row r="1196" spans="1:15" x14ac:dyDescent="0.3">
      <c r="A1196" s="16">
        <v>1195</v>
      </c>
      <c r="B1196" s="16" t="s">
        <v>1641</v>
      </c>
      <c r="C1196" s="16" t="str">
        <f>"YT9781264278305_78"</f>
        <v>YT9781264278305_78</v>
      </c>
      <c r="D1196" s="16" t="s">
        <v>5663</v>
      </c>
      <c r="E1196" s="16" t="s">
        <v>5414</v>
      </c>
      <c r="F1196" s="21">
        <v>9781264278305</v>
      </c>
      <c r="G1196" s="16" t="s">
        <v>796</v>
      </c>
      <c r="H1196" s="16" t="s">
        <v>13</v>
      </c>
      <c r="I1196" s="16">
        <v>2020</v>
      </c>
      <c r="J1196" s="16" t="s">
        <v>5664</v>
      </c>
      <c r="K1196" s="16" t="s">
        <v>4287</v>
      </c>
      <c r="L1196" s="16" t="s">
        <v>15</v>
      </c>
      <c r="M1196" s="16" t="s">
        <v>5665</v>
      </c>
      <c r="N1196" s="16"/>
      <c r="O1196" s="16"/>
    </row>
    <row r="1197" spans="1:15" x14ac:dyDescent="0.3">
      <c r="A1197" s="16">
        <v>1196</v>
      </c>
      <c r="B1197" s="16" t="s">
        <v>1641</v>
      </c>
      <c r="C1197" s="16" t="str">
        <f>"YT9781264278305_79"</f>
        <v>YT9781264278305_79</v>
      </c>
      <c r="D1197" s="16" t="s">
        <v>5666</v>
      </c>
      <c r="E1197" s="16" t="s">
        <v>5414</v>
      </c>
      <c r="F1197" s="21">
        <v>9781264278305</v>
      </c>
      <c r="G1197" s="16" t="s">
        <v>796</v>
      </c>
      <c r="H1197" s="16" t="s">
        <v>13</v>
      </c>
      <c r="I1197" s="16">
        <v>2020</v>
      </c>
      <c r="J1197" s="16" t="s">
        <v>5667</v>
      </c>
      <c r="K1197" s="16" t="s">
        <v>4287</v>
      </c>
      <c r="L1197" s="16" t="s">
        <v>15</v>
      </c>
      <c r="M1197" s="16" t="s">
        <v>5668</v>
      </c>
      <c r="N1197" s="16"/>
      <c r="O1197" s="16"/>
    </row>
    <row r="1198" spans="1:15" x14ac:dyDescent="0.3">
      <c r="A1198" s="16">
        <v>1197</v>
      </c>
      <c r="B1198" s="16" t="s">
        <v>1641</v>
      </c>
      <c r="C1198" s="16" t="str">
        <f>"YT9781264278305_80"</f>
        <v>YT9781264278305_80</v>
      </c>
      <c r="D1198" s="16" t="s">
        <v>5669</v>
      </c>
      <c r="E1198" s="16" t="s">
        <v>5414</v>
      </c>
      <c r="F1198" s="21">
        <v>9781264278305</v>
      </c>
      <c r="G1198" s="16" t="s">
        <v>796</v>
      </c>
      <c r="H1198" s="16" t="s">
        <v>13</v>
      </c>
      <c r="I1198" s="16">
        <v>2020</v>
      </c>
      <c r="J1198" s="16" t="s">
        <v>5670</v>
      </c>
      <c r="K1198" s="16" t="s">
        <v>1617</v>
      </c>
      <c r="L1198" s="16" t="s">
        <v>15</v>
      </c>
      <c r="M1198" s="16" t="s">
        <v>5671</v>
      </c>
      <c r="N1198" s="16"/>
      <c r="O1198" s="16"/>
    </row>
    <row r="1199" spans="1:15" x14ac:dyDescent="0.3">
      <c r="A1199" s="16">
        <v>1198</v>
      </c>
      <c r="B1199" s="16" t="s">
        <v>1641</v>
      </c>
      <c r="C1199" s="16" t="str">
        <f>"YT9781264278305_81"</f>
        <v>YT9781264278305_81</v>
      </c>
      <c r="D1199" s="16" t="s">
        <v>5672</v>
      </c>
      <c r="E1199" s="16" t="s">
        <v>5673</v>
      </c>
      <c r="F1199" s="21">
        <v>9781264278305</v>
      </c>
      <c r="G1199" s="16" t="s">
        <v>5674</v>
      </c>
      <c r="H1199" s="16" t="s">
        <v>4152</v>
      </c>
      <c r="I1199" s="16">
        <v>2020</v>
      </c>
      <c r="J1199" s="16" t="s">
        <v>5675</v>
      </c>
      <c r="K1199" s="16" t="s">
        <v>5676</v>
      </c>
      <c r="L1199" s="16" t="s">
        <v>15</v>
      </c>
      <c r="M1199" s="16" t="s">
        <v>5677</v>
      </c>
      <c r="N1199" s="16"/>
      <c r="O1199" s="16"/>
    </row>
    <row r="1200" spans="1:15" x14ac:dyDescent="0.3">
      <c r="A1200" s="16">
        <v>1199</v>
      </c>
      <c r="B1200" s="16" t="s">
        <v>1641</v>
      </c>
      <c r="C1200" s="16" t="str">
        <f>"YT9781264278305_82"</f>
        <v>YT9781264278305_82</v>
      </c>
      <c r="D1200" s="16" t="s">
        <v>5678</v>
      </c>
      <c r="E1200" s="16" t="s">
        <v>5673</v>
      </c>
      <c r="F1200" s="21">
        <v>9781264278305</v>
      </c>
      <c r="G1200" s="16" t="s">
        <v>5674</v>
      </c>
      <c r="H1200" s="16" t="s">
        <v>4152</v>
      </c>
      <c r="I1200" s="16">
        <v>2020</v>
      </c>
      <c r="J1200" s="16" t="s">
        <v>5679</v>
      </c>
      <c r="K1200" s="16" t="s">
        <v>5680</v>
      </c>
      <c r="L1200" s="16" t="s">
        <v>15</v>
      </c>
      <c r="M1200" s="16" t="s">
        <v>5681</v>
      </c>
      <c r="N1200" s="16"/>
      <c r="O1200" s="16"/>
    </row>
    <row r="1201" spans="1:15" x14ac:dyDescent="0.3">
      <c r="A1201" s="16">
        <v>1200</v>
      </c>
      <c r="B1201" s="16" t="s">
        <v>1641</v>
      </c>
      <c r="C1201" s="16" t="str">
        <f>"YT9781264278305_83"</f>
        <v>YT9781264278305_83</v>
      </c>
      <c r="D1201" s="16" t="s">
        <v>5682</v>
      </c>
      <c r="E1201" s="16" t="s">
        <v>5673</v>
      </c>
      <c r="F1201" s="21">
        <v>9781264278305</v>
      </c>
      <c r="G1201" s="16" t="s">
        <v>5674</v>
      </c>
      <c r="H1201" s="16" t="s">
        <v>4152</v>
      </c>
      <c r="I1201" s="16">
        <v>2020</v>
      </c>
      <c r="J1201" s="16" t="s">
        <v>5683</v>
      </c>
      <c r="K1201" s="16" t="s">
        <v>5684</v>
      </c>
      <c r="L1201" s="16" t="s">
        <v>15</v>
      </c>
      <c r="M1201" s="16" t="s">
        <v>5685</v>
      </c>
      <c r="N1201" s="16"/>
      <c r="O1201" s="16"/>
    </row>
    <row r="1202" spans="1:15" x14ac:dyDescent="0.3">
      <c r="A1202" s="16">
        <v>1201</v>
      </c>
      <c r="B1202" s="16" t="s">
        <v>1641</v>
      </c>
      <c r="C1202" s="16" t="str">
        <f>"YT9781264278305_84"</f>
        <v>YT9781264278305_84</v>
      </c>
      <c r="D1202" s="16" t="s">
        <v>5686</v>
      </c>
      <c r="E1202" s="16" t="s">
        <v>5414</v>
      </c>
      <c r="F1202" s="21">
        <v>9781264278305</v>
      </c>
      <c r="G1202" s="16" t="s">
        <v>796</v>
      </c>
      <c r="H1202" s="16" t="s">
        <v>13</v>
      </c>
      <c r="I1202" s="16">
        <v>2020</v>
      </c>
      <c r="J1202" s="16" t="s">
        <v>5687</v>
      </c>
      <c r="K1202" s="16" t="s">
        <v>5483</v>
      </c>
      <c r="L1202" s="16" t="s">
        <v>15</v>
      </c>
      <c r="M1202" s="16" t="s">
        <v>5688</v>
      </c>
      <c r="N1202" s="16"/>
      <c r="O1202" s="16"/>
    </row>
    <row r="1203" spans="1:15" x14ac:dyDescent="0.3">
      <c r="A1203" s="16">
        <v>1202</v>
      </c>
      <c r="B1203" s="16" t="s">
        <v>1641</v>
      </c>
      <c r="C1203" s="16" t="str">
        <f>"YT9781264278305_85"</f>
        <v>YT9781264278305_85</v>
      </c>
      <c r="D1203" s="16" t="s">
        <v>5689</v>
      </c>
      <c r="E1203" s="16" t="s">
        <v>5414</v>
      </c>
      <c r="F1203" s="21">
        <v>9781264278305</v>
      </c>
      <c r="G1203" s="16" t="s">
        <v>796</v>
      </c>
      <c r="H1203" s="16" t="s">
        <v>13</v>
      </c>
      <c r="I1203" s="16">
        <v>2020</v>
      </c>
      <c r="J1203" s="16" t="s">
        <v>5690</v>
      </c>
      <c r="K1203" s="16" t="s">
        <v>4287</v>
      </c>
      <c r="L1203" s="16" t="s">
        <v>15</v>
      </c>
      <c r="M1203" s="16" t="s">
        <v>5691</v>
      </c>
      <c r="N1203" s="16"/>
      <c r="O1203" s="16"/>
    </row>
    <row r="1204" spans="1:15" x14ac:dyDescent="0.3">
      <c r="A1204" s="16">
        <v>1203</v>
      </c>
      <c r="B1204" s="16" t="s">
        <v>1641</v>
      </c>
      <c r="C1204" s="16" t="str">
        <f>"YT9781264278305_86"</f>
        <v>YT9781264278305_86</v>
      </c>
      <c r="D1204" s="16" t="s">
        <v>5692</v>
      </c>
      <c r="E1204" s="16" t="s">
        <v>5414</v>
      </c>
      <c r="F1204" s="21">
        <v>9781264278305</v>
      </c>
      <c r="G1204" s="16" t="s">
        <v>796</v>
      </c>
      <c r="H1204" s="16" t="s">
        <v>13</v>
      </c>
      <c r="I1204" s="16">
        <v>2020</v>
      </c>
      <c r="J1204" s="16" t="s">
        <v>5693</v>
      </c>
      <c r="K1204" s="16" t="s">
        <v>4978</v>
      </c>
      <c r="L1204" s="16" t="s">
        <v>15</v>
      </c>
      <c r="M1204" s="16" t="s">
        <v>5694</v>
      </c>
      <c r="N1204" s="16"/>
      <c r="O1204" s="16"/>
    </row>
    <row r="1205" spans="1:15" x14ac:dyDescent="0.3">
      <c r="A1205" s="16">
        <v>1204</v>
      </c>
      <c r="B1205" s="16" t="s">
        <v>1641</v>
      </c>
      <c r="C1205" s="16" t="str">
        <f>"YT9781264278305_87"</f>
        <v>YT9781264278305_87</v>
      </c>
      <c r="D1205" s="16" t="s">
        <v>5695</v>
      </c>
      <c r="E1205" s="16" t="s">
        <v>5414</v>
      </c>
      <c r="F1205" s="21">
        <v>9781264278305</v>
      </c>
      <c r="G1205" s="16" t="s">
        <v>796</v>
      </c>
      <c r="H1205" s="16" t="s">
        <v>13</v>
      </c>
      <c r="I1205" s="16">
        <v>2020</v>
      </c>
      <c r="J1205" s="16" t="s">
        <v>5696</v>
      </c>
      <c r="K1205" s="16" t="s">
        <v>1954</v>
      </c>
      <c r="L1205" s="16" t="s">
        <v>15</v>
      </c>
      <c r="M1205" s="16" t="s">
        <v>5697</v>
      </c>
      <c r="N1205" s="16"/>
      <c r="O1205" s="16"/>
    </row>
    <row r="1206" spans="1:15" x14ac:dyDescent="0.3">
      <c r="A1206" s="16">
        <v>1205</v>
      </c>
      <c r="B1206" s="16" t="s">
        <v>1641</v>
      </c>
      <c r="C1206" s="16" t="str">
        <f>"YT9781264278305_88"</f>
        <v>YT9781264278305_88</v>
      </c>
      <c r="D1206" s="16" t="s">
        <v>5698</v>
      </c>
      <c r="E1206" s="16" t="s">
        <v>5673</v>
      </c>
      <c r="F1206" s="21">
        <v>9781264278305</v>
      </c>
      <c r="G1206" s="16" t="s">
        <v>5674</v>
      </c>
      <c r="H1206" s="16" t="s">
        <v>4152</v>
      </c>
      <c r="I1206" s="16">
        <v>2020</v>
      </c>
      <c r="J1206" s="16" t="s">
        <v>5699</v>
      </c>
      <c r="K1206" s="16" t="s">
        <v>5684</v>
      </c>
      <c r="L1206" s="16" t="s">
        <v>15</v>
      </c>
      <c r="M1206" s="16" t="s">
        <v>5700</v>
      </c>
      <c r="N1206" s="16"/>
      <c r="O1206" s="16"/>
    </row>
    <row r="1207" spans="1:15" x14ac:dyDescent="0.3">
      <c r="A1207" s="16">
        <v>1206</v>
      </c>
      <c r="B1207" s="16" t="s">
        <v>1641</v>
      </c>
      <c r="C1207" s="16" t="str">
        <f>"YT9781264278305_89"</f>
        <v>YT9781264278305_89</v>
      </c>
      <c r="D1207" s="16" t="s">
        <v>5701</v>
      </c>
      <c r="E1207" s="16" t="s">
        <v>5673</v>
      </c>
      <c r="F1207" s="21">
        <v>9781264278305</v>
      </c>
      <c r="G1207" s="16" t="s">
        <v>5674</v>
      </c>
      <c r="H1207" s="16" t="s">
        <v>4152</v>
      </c>
      <c r="I1207" s="16">
        <v>2020</v>
      </c>
      <c r="J1207" s="16" t="s">
        <v>5702</v>
      </c>
      <c r="K1207" s="16" t="s">
        <v>5703</v>
      </c>
      <c r="L1207" s="16" t="s">
        <v>15</v>
      </c>
      <c r="M1207" s="16" t="s">
        <v>5704</v>
      </c>
      <c r="N1207" s="16"/>
      <c r="O1207" s="16"/>
    </row>
    <row r="1208" spans="1:15" x14ac:dyDescent="0.3">
      <c r="A1208" s="16">
        <v>1207</v>
      </c>
      <c r="B1208" s="16" t="s">
        <v>1641</v>
      </c>
      <c r="C1208" s="16" t="str">
        <f>"YT9781264278305_90"</f>
        <v>YT9781264278305_90</v>
      </c>
      <c r="D1208" s="16" t="s">
        <v>5705</v>
      </c>
      <c r="E1208" s="16" t="s">
        <v>5414</v>
      </c>
      <c r="F1208" s="21">
        <v>9781264278305</v>
      </c>
      <c r="G1208" s="16" t="s">
        <v>796</v>
      </c>
      <c r="H1208" s="16" t="s">
        <v>13</v>
      </c>
      <c r="I1208" s="16">
        <v>2020</v>
      </c>
      <c r="J1208" s="16" t="s">
        <v>5706</v>
      </c>
      <c r="K1208" s="16" t="s">
        <v>4287</v>
      </c>
      <c r="L1208" s="16" t="s">
        <v>15</v>
      </c>
      <c r="M1208" s="16" t="s">
        <v>5707</v>
      </c>
      <c r="N1208" s="16"/>
      <c r="O1208" s="16"/>
    </row>
    <row r="1209" spans="1:15" x14ac:dyDescent="0.3">
      <c r="A1209" s="16">
        <v>1208</v>
      </c>
      <c r="B1209" s="16" t="s">
        <v>1641</v>
      </c>
      <c r="C1209" s="16" t="str">
        <f>"YT9781264278305_91"</f>
        <v>YT9781264278305_91</v>
      </c>
      <c r="D1209" s="16" t="s">
        <v>5708</v>
      </c>
      <c r="E1209" s="16" t="s">
        <v>5414</v>
      </c>
      <c r="F1209" s="21">
        <v>9781264278305</v>
      </c>
      <c r="G1209" s="16" t="s">
        <v>796</v>
      </c>
      <c r="H1209" s="16" t="s">
        <v>13</v>
      </c>
      <c r="I1209" s="16">
        <v>2020</v>
      </c>
      <c r="J1209" s="16" t="s">
        <v>5709</v>
      </c>
      <c r="K1209" s="16" t="s">
        <v>4287</v>
      </c>
      <c r="L1209" s="16" t="s">
        <v>15</v>
      </c>
      <c r="M1209" s="16" t="s">
        <v>5710</v>
      </c>
      <c r="N1209" s="16"/>
      <c r="O1209" s="16"/>
    </row>
    <row r="1210" spans="1:15" x14ac:dyDescent="0.3">
      <c r="A1210" s="16">
        <v>1209</v>
      </c>
      <c r="B1210" s="16" t="s">
        <v>1641</v>
      </c>
      <c r="C1210" s="16" t="str">
        <f>"YT9781264278305_92"</f>
        <v>YT9781264278305_92</v>
      </c>
      <c r="D1210" s="16" t="s">
        <v>5711</v>
      </c>
      <c r="E1210" s="16" t="s">
        <v>5414</v>
      </c>
      <c r="F1210" s="21">
        <v>9781264278305</v>
      </c>
      <c r="G1210" s="16" t="s">
        <v>796</v>
      </c>
      <c r="H1210" s="16" t="s">
        <v>13</v>
      </c>
      <c r="I1210" s="16">
        <v>2020</v>
      </c>
      <c r="J1210" s="16" t="s">
        <v>5712</v>
      </c>
      <c r="K1210" s="16" t="s">
        <v>5713</v>
      </c>
      <c r="L1210" s="16" t="s">
        <v>15</v>
      </c>
      <c r="M1210" s="16" t="s">
        <v>5714</v>
      </c>
      <c r="N1210" s="16"/>
      <c r="O1210" s="16"/>
    </row>
    <row r="1211" spans="1:15" x14ac:dyDescent="0.3">
      <c r="A1211" s="16">
        <v>1210</v>
      </c>
      <c r="B1211" s="16" t="s">
        <v>1641</v>
      </c>
      <c r="C1211" s="16" t="str">
        <f>"YT9781264278305_93"</f>
        <v>YT9781264278305_93</v>
      </c>
      <c r="D1211" s="16" t="s">
        <v>5715</v>
      </c>
      <c r="E1211" s="16" t="s">
        <v>5414</v>
      </c>
      <c r="F1211" s="21">
        <v>9781264278305</v>
      </c>
      <c r="G1211" s="16" t="s">
        <v>796</v>
      </c>
      <c r="H1211" s="16" t="s">
        <v>13</v>
      </c>
      <c r="I1211" s="16">
        <v>2020</v>
      </c>
      <c r="J1211" s="16" t="s">
        <v>5716</v>
      </c>
      <c r="K1211" s="16" t="s">
        <v>1926</v>
      </c>
      <c r="L1211" s="16" t="s">
        <v>15</v>
      </c>
      <c r="M1211" s="16" t="s">
        <v>5717</v>
      </c>
      <c r="N1211" s="16"/>
      <c r="O1211" s="16"/>
    </row>
    <row r="1212" spans="1:15" x14ac:dyDescent="0.3">
      <c r="A1212" s="16">
        <v>1211</v>
      </c>
      <c r="B1212" s="16" t="s">
        <v>1641</v>
      </c>
      <c r="C1212" s="16" t="str">
        <f>"YT9781264278305_94"</f>
        <v>YT9781264278305_94</v>
      </c>
      <c r="D1212" s="16" t="s">
        <v>5718</v>
      </c>
      <c r="E1212" s="16" t="s">
        <v>5414</v>
      </c>
      <c r="F1212" s="21">
        <v>9781264278305</v>
      </c>
      <c r="G1212" s="16" t="s">
        <v>796</v>
      </c>
      <c r="H1212" s="16" t="s">
        <v>13</v>
      </c>
      <c r="I1212" s="16">
        <v>2020</v>
      </c>
      <c r="J1212" s="16" t="s">
        <v>5719</v>
      </c>
      <c r="K1212" s="16" t="s">
        <v>5720</v>
      </c>
      <c r="L1212" s="16" t="s">
        <v>15</v>
      </c>
      <c r="M1212" s="16" t="s">
        <v>5721</v>
      </c>
      <c r="N1212" s="16"/>
      <c r="O1212" s="16"/>
    </row>
    <row r="1213" spans="1:15" x14ac:dyDescent="0.3">
      <c r="A1213" s="16">
        <v>1212</v>
      </c>
      <c r="B1213" s="16" t="s">
        <v>1641</v>
      </c>
      <c r="C1213" s="16" t="str">
        <f>"V1402345871001"</f>
        <v>V1402345871001</v>
      </c>
      <c r="D1213" s="16" t="s">
        <v>5722</v>
      </c>
      <c r="E1213" s="16" t="s">
        <v>1643</v>
      </c>
      <c r="F1213" s="21" t="s">
        <v>1644</v>
      </c>
      <c r="G1213" s="16" t="s">
        <v>1645</v>
      </c>
      <c r="H1213" s="16" t="s">
        <v>13</v>
      </c>
      <c r="I1213" s="16">
        <v>2011</v>
      </c>
      <c r="J1213" s="16" t="s">
        <v>61</v>
      </c>
      <c r="K1213" s="16" t="s">
        <v>48</v>
      </c>
      <c r="L1213" s="16" t="s">
        <v>15</v>
      </c>
      <c r="M1213" s="16" t="s">
        <v>5723</v>
      </c>
      <c r="N1213" s="16"/>
      <c r="O1213" s="16"/>
    </row>
    <row r="1214" spans="1:15" x14ac:dyDescent="0.3">
      <c r="A1214" s="16">
        <v>1213</v>
      </c>
      <c r="B1214" s="16" t="s">
        <v>1641</v>
      </c>
      <c r="C1214" s="16" t="str">
        <f>"V1402345872001"</f>
        <v>V1402345872001</v>
      </c>
      <c r="D1214" s="16" t="s">
        <v>5724</v>
      </c>
      <c r="E1214" s="16" t="s">
        <v>1643</v>
      </c>
      <c r="F1214" s="21" t="s">
        <v>1644</v>
      </c>
      <c r="G1214" s="16" t="s">
        <v>1645</v>
      </c>
      <c r="H1214" s="16" t="s">
        <v>13</v>
      </c>
      <c r="I1214" s="16">
        <v>2011</v>
      </c>
      <c r="J1214" s="16" t="s">
        <v>5725</v>
      </c>
      <c r="K1214" s="16" t="s">
        <v>48</v>
      </c>
      <c r="L1214" s="16" t="s">
        <v>15</v>
      </c>
      <c r="M1214" s="16" t="s">
        <v>5726</v>
      </c>
      <c r="N1214" s="16"/>
      <c r="O1214" s="16"/>
    </row>
    <row r="1215" spans="1:15" x14ac:dyDescent="0.3">
      <c r="A1215" s="16">
        <v>1214</v>
      </c>
      <c r="B1215" s="16" t="s">
        <v>1641</v>
      </c>
      <c r="C1215" s="16" t="str">
        <f>"V1402345873001"</f>
        <v>V1402345873001</v>
      </c>
      <c r="D1215" s="16" t="s">
        <v>5727</v>
      </c>
      <c r="E1215" s="16" t="s">
        <v>1643</v>
      </c>
      <c r="F1215" s="21" t="s">
        <v>1644</v>
      </c>
      <c r="G1215" s="16" t="s">
        <v>1645</v>
      </c>
      <c r="H1215" s="16" t="s">
        <v>13</v>
      </c>
      <c r="I1215" s="16">
        <v>2011</v>
      </c>
      <c r="J1215" s="16" t="s">
        <v>5728</v>
      </c>
      <c r="K1215" s="16" t="s">
        <v>1668</v>
      </c>
      <c r="L1215" s="16" t="s">
        <v>15</v>
      </c>
      <c r="M1215" s="16" t="s">
        <v>5729</v>
      </c>
      <c r="N1215" s="16"/>
      <c r="O1215" s="16"/>
    </row>
    <row r="1216" spans="1:15" x14ac:dyDescent="0.3">
      <c r="A1216" s="16">
        <v>1215</v>
      </c>
      <c r="B1216" s="16" t="s">
        <v>1641</v>
      </c>
      <c r="C1216" s="16" t="str">
        <f>"V1402345874001"</f>
        <v>V1402345874001</v>
      </c>
      <c r="D1216" s="16" t="s">
        <v>5730</v>
      </c>
      <c r="E1216" s="16" t="s">
        <v>1643</v>
      </c>
      <c r="F1216" s="21" t="s">
        <v>1644</v>
      </c>
      <c r="G1216" s="16" t="s">
        <v>1645</v>
      </c>
      <c r="H1216" s="16" t="s">
        <v>13</v>
      </c>
      <c r="I1216" s="16">
        <v>2011</v>
      </c>
      <c r="J1216" s="16" t="s">
        <v>5731</v>
      </c>
      <c r="K1216" s="16" t="s">
        <v>48</v>
      </c>
      <c r="L1216" s="16" t="s">
        <v>15</v>
      </c>
      <c r="M1216" s="16" t="s">
        <v>5732</v>
      </c>
      <c r="N1216" s="16"/>
      <c r="O1216" s="16"/>
    </row>
    <row r="1217" spans="1:15" x14ac:dyDescent="0.3">
      <c r="A1217" s="16">
        <v>1216</v>
      </c>
      <c r="B1217" s="16" t="s">
        <v>1641</v>
      </c>
      <c r="C1217" s="16" t="str">
        <f>"V1402345876001"</f>
        <v>V1402345876001</v>
      </c>
      <c r="D1217" s="16" t="s">
        <v>5733</v>
      </c>
      <c r="E1217" s="16" t="s">
        <v>1643</v>
      </c>
      <c r="F1217" s="21" t="s">
        <v>1644</v>
      </c>
      <c r="G1217" s="16" t="s">
        <v>1645</v>
      </c>
      <c r="H1217" s="16" t="s">
        <v>13</v>
      </c>
      <c r="I1217" s="16">
        <v>2011</v>
      </c>
      <c r="J1217" s="16" t="s">
        <v>5734</v>
      </c>
      <c r="K1217" s="16" t="s">
        <v>48</v>
      </c>
      <c r="L1217" s="16" t="s">
        <v>15</v>
      </c>
      <c r="M1217" s="16" t="s">
        <v>5735</v>
      </c>
      <c r="N1217" s="16"/>
      <c r="O1217" s="16"/>
    </row>
    <row r="1218" spans="1:15" x14ac:dyDescent="0.3">
      <c r="A1218" s="16">
        <v>1217</v>
      </c>
      <c r="B1218" s="16" t="s">
        <v>1641</v>
      </c>
      <c r="C1218" s="16" t="str">
        <f>"V1402345878001"</f>
        <v>V1402345878001</v>
      </c>
      <c r="D1218" s="16" t="s">
        <v>5736</v>
      </c>
      <c r="E1218" s="16" t="s">
        <v>1643</v>
      </c>
      <c r="F1218" s="21" t="s">
        <v>1644</v>
      </c>
      <c r="G1218" s="16" t="s">
        <v>1645</v>
      </c>
      <c r="H1218" s="16" t="s">
        <v>13</v>
      </c>
      <c r="I1218" s="16">
        <v>2011</v>
      </c>
      <c r="J1218" s="16" t="s">
        <v>5737</v>
      </c>
      <c r="K1218" s="16" t="s">
        <v>48</v>
      </c>
      <c r="L1218" s="16" t="s">
        <v>15</v>
      </c>
      <c r="M1218" s="16" t="s">
        <v>5738</v>
      </c>
      <c r="N1218" s="16"/>
      <c r="O1218" s="16"/>
    </row>
    <row r="1219" spans="1:15" x14ac:dyDescent="0.3">
      <c r="A1219" s="16">
        <v>1218</v>
      </c>
      <c r="B1219" s="16" t="s">
        <v>1641</v>
      </c>
      <c r="C1219" s="16" t="str">
        <f>"V1402345879001"</f>
        <v>V1402345879001</v>
      </c>
      <c r="D1219" s="16" t="s">
        <v>5739</v>
      </c>
      <c r="E1219" s="16" t="s">
        <v>1643</v>
      </c>
      <c r="F1219" s="21" t="s">
        <v>1644</v>
      </c>
      <c r="G1219" s="16" t="s">
        <v>1645</v>
      </c>
      <c r="H1219" s="16" t="s">
        <v>13</v>
      </c>
      <c r="I1219" s="16">
        <v>2011</v>
      </c>
      <c r="J1219" s="16" t="s">
        <v>5740</v>
      </c>
      <c r="K1219" s="16" t="s">
        <v>48</v>
      </c>
      <c r="L1219" s="16" t="s">
        <v>15</v>
      </c>
      <c r="M1219" s="16" t="s">
        <v>5741</v>
      </c>
      <c r="N1219" s="16"/>
      <c r="O1219" s="16"/>
    </row>
    <row r="1220" spans="1:15" x14ac:dyDescent="0.3">
      <c r="A1220" s="16">
        <v>1219</v>
      </c>
      <c r="B1220" s="16" t="s">
        <v>1641</v>
      </c>
      <c r="C1220" s="16" t="str">
        <f>"V1402345881001"</f>
        <v>V1402345881001</v>
      </c>
      <c r="D1220" s="16" t="s">
        <v>5742</v>
      </c>
      <c r="E1220" s="16" t="s">
        <v>1643</v>
      </c>
      <c r="F1220" s="21" t="s">
        <v>1644</v>
      </c>
      <c r="G1220" s="16" t="s">
        <v>1645</v>
      </c>
      <c r="H1220" s="16" t="s">
        <v>13</v>
      </c>
      <c r="I1220" s="16">
        <v>2011</v>
      </c>
      <c r="J1220" s="16" t="s">
        <v>5743</v>
      </c>
      <c r="K1220" s="16" t="s">
        <v>48</v>
      </c>
      <c r="L1220" s="16" t="s">
        <v>15</v>
      </c>
      <c r="M1220" s="16" t="s">
        <v>5744</v>
      </c>
      <c r="N1220" s="16"/>
      <c r="O1220" s="16"/>
    </row>
    <row r="1221" spans="1:15" x14ac:dyDescent="0.3">
      <c r="A1221" s="16">
        <v>1220</v>
      </c>
      <c r="B1221" s="16" t="s">
        <v>1641</v>
      </c>
      <c r="C1221" s="16" t="str">
        <f>"V1402345899001"</f>
        <v>V1402345899001</v>
      </c>
      <c r="D1221" s="16" t="s">
        <v>5745</v>
      </c>
      <c r="E1221" s="16" t="s">
        <v>1011</v>
      </c>
      <c r="F1221" s="21">
        <v>9781259588501</v>
      </c>
      <c r="G1221" s="16" t="s">
        <v>1686</v>
      </c>
      <c r="H1221" s="16" t="s">
        <v>13</v>
      </c>
      <c r="I1221" s="16">
        <v>2011</v>
      </c>
      <c r="J1221" s="16" t="s">
        <v>5746</v>
      </c>
      <c r="K1221" s="16" t="s">
        <v>5747</v>
      </c>
      <c r="L1221" s="16" t="s">
        <v>15</v>
      </c>
      <c r="M1221" s="16" t="s">
        <v>5748</v>
      </c>
      <c r="N1221" s="16"/>
      <c r="O1221" s="16"/>
    </row>
    <row r="1222" spans="1:15" x14ac:dyDescent="0.3">
      <c r="A1222" s="16">
        <v>1221</v>
      </c>
      <c r="B1222" s="16" t="s">
        <v>1641</v>
      </c>
      <c r="C1222" s="16" t="str">
        <f>"V1402345902001"</f>
        <v>V1402345902001</v>
      </c>
      <c r="D1222" s="16" t="s">
        <v>5749</v>
      </c>
      <c r="E1222" s="16" t="s">
        <v>1694</v>
      </c>
      <c r="F1222" s="21">
        <v>9780071428675</v>
      </c>
      <c r="G1222" s="16" t="s">
        <v>1695</v>
      </c>
      <c r="H1222" s="16" t="s">
        <v>13</v>
      </c>
      <c r="I1222" s="16">
        <v>2011</v>
      </c>
      <c r="J1222" s="16" t="s">
        <v>5750</v>
      </c>
      <c r="K1222" s="16" t="s">
        <v>1723</v>
      </c>
      <c r="L1222" s="16" t="s">
        <v>15</v>
      </c>
      <c r="M1222" s="16" t="s">
        <v>5751</v>
      </c>
      <c r="N1222" s="16"/>
      <c r="O1222" s="16"/>
    </row>
    <row r="1223" spans="1:15" x14ac:dyDescent="0.3">
      <c r="A1223" s="16">
        <v>1222</v>
      </c>
      <c r="B1223" s="16" t="s">
        <v>1641</v>
      </c>
      <c r="C1223" s="16" t="str">
        <f>"V1402345905001"</f>
        <v>V1402345905001</v>
      </c>
      <c r="D1223" s="16" t="s">
        <v>5752</v>
      </c>
      <c r="E1223" s="16" t="s">
        <v>1011</v>
      </c>
      <c r="F1223" s="21">
        <v>9781259588501</v>
      </c>
      <c r="G1223" s="16" t="s">
        <v>1686</v>
      </c>
      <c r="H1223" s="16" t="s">
        <v>13</v>
      </c>
      <c r="I1223" s="16">
        <v>2011</v>
      </c>
      <c r="J1223" s="16" t="s">
        <v>5753</v>
      </c>
      <c r="K1223" s="16" t="s">
        <v>42</v>
      </c>
      <c r="L1223" s="16" t="s">
        <v>15</v>
      </c>
      <c r="M1223" s="16" t="s">
        <v>5754</v>
      </c>
      <c r="N1223" s="16"/>
      <c r="O1223" s="16"/>
    </row>
    <row r="1224" spans="1:15" x14ac:dyDescent="0.3">
      <c r="A1224" s="16">
        <v>1223</v>
      </c>
      <c r="B1224" s="16" t="s">
        <v>1641</v>
      </c>
      <c r="C1224" s="16" t="str">
        <f>"V1402345907001"</f>
        <v>V1402345907001</v>
      </c>
      <c r="D1224" s="16" t="s">
        <v>5755</v>
      </c>
      <c r="E1224" s="16" t="s">
        <v>1011</v>
      </c>
      <c r="F1224" s="21">
        <v>9781259588501</v>
      </c>
      <c r="G1224" s="16" t="s">
        <v>1686</v>
      </c>
      <c r="H1224" s="16" t="s">
        <v>13</v>
      </c>
      <c r="I1224" s="16">
        <v>2011</v>
      </c>
      <c r="J1224" s="16" t="s">
        <v>5756</v>
      </c>
      <c r="K1224" s="16" t="s">
        <v>5757</v>
      </c>
      <c r="L1224" s="16" t="s">
        <v>15</v>
      </c>
      <c r="M1224" s="16" t="s">
        <v>5758</v>
      </c>
      <c r="N1224" s="16"/>
      <c r="O1224" s="16"/>
    </row>
    <row r="1225" spans="1:15" x14ac:dyDescent="0.3">
      <c r="A1225" s="16">
        <v>1224</v>
      </c>
      <c r="B1225" s="16" t="s">
        <v>1641</v>
      </c>
      <c r="C1225" s="16" t="str">
        <f>"V1402345911001"</f>
        <v>V1402345911001</v>
      </c>
      <c r="D1225" s="16" t="s">
        <v>5759</v>
      </c>
      <c r="E1225" s="16" t="s">
        <v>1011</v>
      </c>
      <c r="F1225" s="21">
        <v>9781259588501</v>
      </c>
      <c r="G1225" s="16" t="s">
        <v>1714</v>
      </c>
      <c r="H1225" s="16" t="s">
        <v>13</v>
      </c>
      <c r="I1225" s="16">
        <v>2011</v>
      </c>
      <c r="J1225" s="16" t="s">
        <v>5760</v>
      </c>
      <c r="K1225" s="16" t="s">
        <v>4653</v>
      </c>
      <c r="L1225" s="16" t="s">
        <v>15</v>
      </c>
      <c r="M1225" s="16" t="s">
        <v>5761</v>
      </c>
      <c r="N1225" s="16"/>
      <c r="O1225" s="16"/>
    </row>
    <row r="1226" spans="1:15" x14ac:dyDescent="0.3">
      <c r="A1226" s="16">
        <v>1225</v>
      </c>
      <c r="B1226" s="16" t="s">
        <v>1641</v>
      </c>
      <c r="C1226" s="16" t="str">
        <f>"V1402345912001"</f>
        <v>V1402345912001</v>
      </c>
      <c r="D1226" s="16" t="s">
        <v>5762</v>
      </c>
      <c r="E1226" s="16" t="s">
        <v>1011</v>
      </c>
      <c r="F1226" s="21">
        <v>9781259588501</v>
      </c>
      <c r="G1226" s="16" t="s">
        <v>1714</v>
      </c>
      <c r="H1226" s="16" t="s">
        <v>13</v>
      </c>
      <c r="I1226" s="16">
        <v>2011</v>
      </c>
      <c r="J1226" s="16" t="s">
        <v>5763</v>
      </c>
      <c r="K1226" s="16" t="s">
        <v>64</v>
      </c>
      <c r="L1226" s="16" t="s">
        <v>15</v>
      </c>
      <c r="M1226" s="16" t="s">
        <v>5764</v>
      </c>
      <c r="N1226" s="16"/>
      <c r="O1226" s="16"/>
    </row>
    <row r="1227" spans="1:15" x14ac:dyDescent="0.3">
      <c r="A1227" s="16">
        <v>1226</v>
      </c>
      <c r="B1227" s="16" t="s">
        <v>1641</v>
      </c>
      <c r="C1227" s="16" t="str">
        <f>"V1402348990001"</f>
        <v>V1402348990001</v>
      </c>
      <c r="D1227" s="16" t="s">
        <v>5765</v>
      </c>
      <c r="E1227" s="16" t="s">
        <v>1643</v>
      </c>
      <c r="F1227" s="19" t="s">
        <v>1644</v>
      </c>
      <c r="G1227" s="16" t="s">
        <v>1645</v>
      </c>
      <c r="H1227" s="16" t="s">
        <v>13</v>
      </c>
      <c r="I1227" s="16">
        <v>2011</v>
      </c>
      <c r="J1227" s="16" t="s">
        <v>5766</v>
      </c>
      <c r="K1227" s="16" t="s">
        <v>1658</v>
      </c>
      <c r="L1227" s="16" t="s">
        <v>15</v>
      </c>
      <c r="M1227" s="16" t="s">
        <v>5767</v>
      </c>
      <c r="N1227" s="16"/>
      <c r="O1227" s="16"/>
    </row>
    <row r="1228" spans="1:15" x14ac:dyDescent="0.3">
      <c r="A1228" s="16">
        <v>1227</v>
      </c>
      <c r="B1228" s="16" t="s">
        <v>1641</v>
      </c>
      <c r="C1228" s="16" t="str">
        <f>"V1402348991001"</f>
        <v>V1402348991001</v>
      </c>
      <c r="D1228" s="16" t="s">
        <v>5768</v>
      </c>
      <c r="E1228" s="16" t="s">
        <v>1643</v>
      </c>
      <c r="F1228" s="19" t="s">
        <v>1644</v>
      </c>
      <c r="G1228" s="16" t="s">
        <v>1645</v>
      </c>
      <c r="H1228" s="16" t="s">
        <v>13</v>
      </c>
      <c r="I1228" s="16">
        <v>2011</v>
      </c>
      <c r="J1228" s="16" t="s">
        <v>5769</v>
      </c>
      <c r="K1228" s="16" t="s">
        <v>1647</v>
      </c>
      <c r="L1228" s="16" t="s">
        <v>15</v>
      </c>
      <c r="M1228" s="16" t="s">
        <v>5770</v>
      </c>
      <c r="N1228" s="16"/>
      <c r="O1228" s="16"/>
    </row>
    <row r="1229" spans="1:15" x14ac:dyDescent="0.3">
      <c r="A1229" s="16">
        <v>1228</v>
      </c>
      <c r="B1229" s="16" t="s">
        <v>1641</v>
      </c>
      <c r="C1229" s="16" t="str">
        <f>"V1402348992001"</f>
        <v>V1402348992001</v>
      </c>
      <c r="D1229" s="16" t="s">
        <v>5771</v>
      </c>
      <c r="E1229" s="16" t="s">
        <v>1643</v>
      </c>
      <c r="F1229" s="19" t="s">
        <v>1644</v>
      </c>
      <c r="G1229" s="16" t="s">
        <v>1645</v>
      </c>
      <c r="H1229" s="16" t="s">
        <v>13</v>
      </c>
      <c r="I1229" s="16">
        <v>2011</v>
      </c>
      <c r="J1229" s="16" t="s">
        <v>5772</v>
      </c>
      <c r="K1229" s="16" t="s">
        <v>5773</v>
      </c>
      <c r="L1229" s="16" t="s">
        <v>15</v>
      </c>
      <c r="M1229" s="16" t="s">
        <v>5774</v>
      </c>
      <c r="N1229" s="16"/>
      <c r="O1229" s="16"/>
    </row>
    <row r="1230" spans="1:15" x14ac:dyDescent="0.3">
      <c r="A1230" s="16">
        <v>1229</v>
      </c>
      <c r="B1230" s="16" t="s">
        <v>1641</v>
      </c>
      <c r="C1230" s="16" t="str">
        <f>"V1402348993001"</f>
        <v>V1402348993001</v>
      </c>
      <c r="D1230" s="16" t="s">
        <v>5775</v>
      </c>
      <c r="E1230" s="16" t="s">
        <v>1643</v>
      </c>
      <c r="F1230" s="19" t="s">
        <v>1644</v>
      </c>
      <c r="G1230" s="16" t="s">
        <v>1645</v>
      </c>
      <c r="H1230" s="16" t="s">
        <v>13</v>
      </c>
      <c r="I1230" s="16">
        <v>2011</v>
      </c>
      <c r="J1230" s="16" t="s">
        <v>5776</v>
      </c>
      <c r="K1230" s="16" t="s">
        <v>48</v>
      </c>
      <c r="L1230" s="16" t="s">
        <v>15</v>
      </c>
      <c r="M1230" s="16" t="s">
        <v>5777</v>
      </c>
      <c r="N1230" s="16"/>
      <c r="O1230" s="16"/>
    </row>
    <row r="1231" spans="1:15" x14ac:dyDescent="0.3">
      <c r="A1231" s="16">
        <v>1230</v>
      </c>
      <c r="B1231" s="16" t="s">
        <v>1641</v>
      </c>
      <c r="C1231" s="16" t="str">
        <f>"V1402348994001"</f>
        <v>V1402348994001</v>
      </c>
      <c r="D1231" s="16" t="s">
        <v>5778</v>
      </c>
      <c r="E1231" s="16" t="s">
        <v>1643</v>
      </c>
      <c r="F1231" s="19" t="s">
        <v>1644</v>
      </c>
      <c r="G1231" s="16" t="s">
        <v>1645</v>
      </c>
      <c r="H1231" s="16" t="s">
        <v>13</v>
      </c>
      <c r="I1231" s="16">
        <v>2011</v>
      </c>
      <c r="J1231" s="16" t="s">
        <v>5779</v>
      </c>
      <c r="K1231" s="16" t="s">
        <v>48</v>
      </c>
      <c r="L1231" s="16" t="s">
        <v>15</v>
      </c>
      <c r="M1231" s="16" t="s">
        <v>5780</v>
      </c>
      <c r="N1231" s="16"/>
      <c r="O1231" s="16"/>
    </row>
    <row r="1232" spans="1:15" x14ac:dyDescent="0.3">
      <c r="A1232" s="16">
        <v>1231</v>
      </c>
      <c r="B1232" s="16" t="s">
        <v>1641</v>
      </c>
      <c r="C1232" s="16" t="str">
        <f>"V1402348995001"</f>
        <v>V1402348995001</v>
      </c>
      <c r="D1232" s="16" t="s">
        <v>5781</v>
      </c>
      <c r="E1232" s="16" t="s">
        <v>1643</v>
      </c>
      <c r="F1232" s="19" t="s">
        <v>1644</v>
      </c>
      <c r="G1232" s="16" t="s">
        <v>1645</v>
      </c>
      <c r="H1232" s="16" t="s">
        <v>13</v>
      </c>
      <c r="I1232" s="16">
        <v>2011</v>
      </c>
      <c r="J1232" s="16" t="s">
        <v>5782</v>
      </c>
      <c r="K1232" s="16" t="s">
        <v>48</v>
      </c>
      <c r="L1232" s="16" t="s">
        <v>15</v>
      </c>
      <c r="M1232" s="16" t="s">
        <v>5783</v>
      </c>
      <c r="N1232" s="16"/>
      <c r="O1232" s="16"/>
    </row>
    <row r="1233" spans="1:15" x14ac:dyDescent="0.3">
      <c r="A1233" s="16">
        <v>1232</v>
      </c>
      <c r="B1233" s="16" t="s">
        <v>1641</v>
      </c>
      <c r="C1233" s="16" t="str">
        <f>"V1402348996001"</f>
        <v>V1402348996001</v>
      </c>
      <c r="D1233" s="16" t="s">
        <v>5784</v>
      </c>
      <c r="E1233" s="16" t="s">
        <v>1643</v>
      </c>
      <c r="F1233" s="19" t="s">
        <v>1644</v>
      </c>
      <c r="G1233" s="16" t="s">
        <v>1645</v>
      </c>
      <c r="H1233" s="16" t="s">
        <v>13</v>
      </c>
      <c r="I1233" s="16">
        <v>2011</v>
      </c>
      <c r="J1233" s="16" t="s">
        <v>5785</v>
      </c>
      <c r="K1233" s="16" t="s">
        <v>48</v>
      </c>
      <c r="L1233" s="16" t="s">
        <v>15</v>
      </c>
      <c r="M1233" s="16" t="s">
        <v>5786</v>
      </c>
      <c r="N1233" s="16"/>
      <c r="O1233" s="16"/>
    </row>
    <row r="1234" spans="1:15" x14ac:dyDescent="0.3">
      <c r="A1234" s="16">
        <v>1233</v>
      </c>
      <c r="B1234" s="16" t="s">
        <v>1641</v>
      </c>
      <c r="C1234" s="16" t="str">
        <f>"V1402348998001"</f>
        <v>V1402348998001</v>
      </c>
      <c r="D1234" s="16" t="s">
        <v>5787</v>
      </c>
      <c r="E1234" s="16" t="s">
        <v>1643</v>
      </c>
      <c r="F1234" s="19" t="s">
        <v>1644</v>
      </c>
      <c r="G1234" s="16" t="s">
        <v>1645</v>
      </c>
      <c r="H1234" s="16" t="s">
        <v>13</v>
      </c>
      <c r="I1234" s="16">
        <v>2011</v>
      </c>
      <c r="J1234" s="16" t="s">
        <v>5788</v>
      </c>
      <c r="K1234" s="16" t="s">
        <v>48</v>
      </c>
      <c r="L1234" s="16" t="s">
        <v>15</v>
      </c>
      <c r="M1234" s="16" t="s">
        <v>5789</v>
      </c>
      <c r="N1234" s="16"/>
      <c r="O1234" s="16"/>
    </row>
    <row r="1235" spans="1:15" x14ac:dyDescent="0.3">
      <c r="A1235" s="16">
        <v>1234</v>
      </c>
      <c r="B1235" s="16" t="s">
        <v>1641</v>
      </c>
      <c r="C1235" s="16" t="str">
        <f>"V1402349001001"</f>
        <v>V1402349001001</v>
      </c>
      <c r="D1235" s="16" t="s">
        <v>5790</v>
      </c>
      <c r="E1235" s="16" t="s">
        <v>1643</v>
      </c>
      <c r="F1235" s="19" t="s">
        <v>1644</v>
      </c>
      <c r="G1235" s="16" t="s">
        <v>1645</v>
      </c>
      <c r="H1235" s="16" t="s">
        <v>13</v>
      </c>
      <c r="I1235" s="16">
        <v>2011</v>
      </c>
      <c r="J1235" s="16" t="s">
        <v>5791</v>
      </c>
      <c r="K1235" s="16" t="s">
        <v>48</v>
      </c>
      <c r="L1235" s="16" t="s">
        <v>15</v>
      </c>
      <c r="M1235" s="16" t="s">
        <v>5792</v>
      </c>
      <c r="N1235" s="16"/>
      <c r="O1235" s="16"/>
    </row>
    <row r="1236" spans="1:15" x14ac:dyDescent="0.3">
      <c r="A1236" s="16">
        <v>1235</v>
      </c>
      <c r="B1236" s="16" t="s">
        <v>1641</v>
      </c>
      <c r="C1236" s="16" t="str">
        <f>"V1402349002001"</f>
        <v>V1402349002001</v>
      </c>
      <c r="D1236" s="16" t="s">
        <v>5793</v>
      </c>
      <c r="E1236" s="16" t="s">
        <v>1643</v>
      </c>
      <c r="F1236" s="19" t="s">
        <v>1644</v>
      </c>
      <c r="G1236" s="16" t="s">
        <v>1645</v>
      </c>
      <c r="H1236" s="16" t="s">
        <v>13</v>
      </c>
      <c r="I1236" s="16">
        <v>2011</v>
      </c>
      <c r="J1236" s="16" t="s">
        <v>61</v>
      </c>
      <c r="K1236" s="16" t="s">
        <v>48</v>
      </c>
      <c r="L1236" s="16" t="s">
        <v>15</v>
      </c>
      <c r="M1236" s="16" t="s">
        <v>5794</v>
      </c>
      <c r="N1236" s="16"/>
      <c r="O1236" s="16"/>
    </row>
    <row r="1237" spans="1:15" x14ac:dyDescent="0.3">
      <c r="A1237" s="16">
        <v>1236</v>
      </c>
      <c r="B1237" s="16" t="s">
        <v>1641</v>
      </c>
      <c r="C1237" s="16" t="str">
        <f>"V1402349021001"</f>
        <v>V1402349021001</v>
      </c>
      <c r="D1237" s="16" t="s">
        <v>5795</v>
      </c>
      <c r="E1237" s="16" t="s">
        <v>1011</v>
      </c>
      <c r="F1237" s="21">
        <v>9781259588501</v>
      </c>
      <c r="G1237" s="16" t="s">
        <v>1686</v>
      </c>
      <c r="H1237" s="16" t="s">
        <v>13</v>
      </c>
      <c r="I1237" s="16">
        <v>2011</v>
      </c>
      <c r="J1237" s="16" t="s">
        <v>5796</v>
      </c>
      <c r="K1237" s="16" t="s">
        <v>5797</v>
      </c>
      <c r="L1237" s="16" t="s">
        <v>15</v>
      </c>
      <c r="M1237" s="16" t="s">
        <v>5798</v>
      </c>
      <c r="N1237" s="16"/>
      <c r="O1237" s="16"/>
    </row>
    <row r="1238" spans="1:15" x14ac:dyDescent="0.3">
      <c r="A1238" s="16">
        <v>1237</v>
      </c>
      <c r="B1238" s="16" t="s">
        <v>1641</v>
      </c>
      <c r="C1238" s="16" t="str">
        <f>"V1402349023001"</f>
        <v>V1402349023001</v>
      </c>
      <c r="D1238" s="16" t="s">
        <v>5799</v>
      </c>
      <c r="E1238" s="16" t="s">
        <v>1694</v>
      </c>
      <c r="F1238" s="21">
        <v>9780071428675</v>
      </c>
      <c r="G1238" s="16" t="s">
        <v>1726</v>
      </c>
      <c r="H1238" s="16" t="s">
        <v>13</v>
      </c>
      <c r="I1238" s="16">
        <v>2011</v>
      </c>
      <c r="J1238" s="16" t="s">
        <v>5800</v>
      </c>
      <c r="K1238" s="16" t="s">
        <v>5801</v>
      </c>
      <c r="L1238" s="16" t="s">
        <v>15</v>
      </c>
      <c r="M1238" s="16" t="s">
        <v>5802</v>
      </c>
      <c r="N1238" s="16"/>
      <c r="O1238" s="16"/>
    </row>
    <row r="1239" spans="1:15" x14ac:dyDescent="0.3">
      <c r="A1239" s="16">
        <v>1238</v>
      </c>
      <c r="B1239" s="16" t="s">
        <v>1641</v>
      </c>
      <c r="C1239" s="16" t="str">
        <f>"V1402349024001"</f>
        <v>V1402349024001</v>
      </c>
      <c r="D1239" s="16" t="s">
        <v>5803</v>
      </c>
      <c r="E1239" s="16" t="s">
        <v>1011</v>
      </c>
      <c r="F1239" s="21">
        <v>9781259588501</v>
      </c>
      <c r="G1239" s="16" t="s">
        <v>1714</v>
      </c>
      <c r="H1239" s="16" t="s">
        <v>13</v>
      </c>
      <c r="I1239" s="16">
        <v>2011</v>
      </c>
      <c r="J1239" s="16" t="s">
        <v>5804</v>
      </c>
      <c r="K1239" s="16" t="s">
        <v>5805</v>
      </c>
      <c r="L1239" s="16" t="s">
        <v>15</v>
      </c>
      <c r="M1239" s="16" t="s">
        <v>5806</v>
      </c>
      <c r="N1239" s="16"/>
      <c r="O1239" s="16"/>
    </row>
    <row r="1240" spans="1:15" x14ac:dyDescent="0.3">
      <c r="A1240" s="16">
        <v>1239</v>
      </c>
      <c r="B1240" s="16" t="s">
        <v>1641</v>
      </c>
      <c r="C1240" s="16" t="str">
        <f>"V1402349025001"</f>
        <v>V1402349025001</v>
      </c>
      <c r="D1240" s="16" t="s">
        <v>5807</v>
      </c>
      <c r="E1240" s="16" t="s">
        <v>1694</v>
      </c>
      <c r="F1240" s="21">
        <v>9780071428675</v>
      </c>
      <c r="G1240" s="16" t="s">
        <v>1695</v>
      </c>
      <c r="H1240" s="16" t="s">
        <v>13</v>
      </c>
      <c r="I1240" s="16">
        <v>2011</v>
      </c>
      <c r="J1240" s="16" t="s">
        <v>5808</v>
      </c>
      <c r="K1240" s="16" t="s">
        <v>31</v>
      </c>
      <c r="L1240" s="16" t="s">
        <v>15</v>
      </c>
      <c r="M1240" s="16" t="s">
        <v>5809</v>
      </c>
      <c r="N1240" s="16"/>
      <c r="O1240" s="16"/>
    </row>
    <row r="1241" spans="1:15" x14ac:dyDescent="0.3">
      <c r="A1241" s="16">
        <v>1240</v>
      </c>
      <c r="B1241" s="16" t="s">
        <v>1641</v>
      </c>
      <c r="C1241" s="16" t="str">
        <f>"V1402349027001"</f>
        <v>V1402349027001</v>
      </c>
      <c r="D1241" s="16" t="s">
        <v>5810</v>
      </c>
      <c r="E1241" s="16" t="s">
        <v>1011</v>
      </c>
      <c r="F1241" s="21">
        <v>9781259588501</v>
      </c>
      <c r="G1241" s="16" t="s">
        <v>1714</v>
      </c>
      <c r="H1241" s="16" t="s">
        <v>13</v>
      </c>
      <c r="I1241" s="16">
        <v>2011</v>
      </c>
      <c r="J1241" s="16" t="s">
        <v>5811</v>
      </c>
      <c r="K1241" s="16" t="s">
        <v>64</v>
      </c>
      <c r="L1241" s="16" t="s">
        <v>15</v>
      </c>
      <c r="M1241" s="16" t="s">
        <v>5812</v>
      </c>
      <c r="N1241" s="16"/>
      <c r="O1241" s="16"/>
    </row>
    <row r="1242" spans="1:15" x14ac:dyDescent="0.3">
      <c r="A1242" s="16">
        <v>1241</v>
      </c>
      <c r="B1242" s="16" t="s">
        <v>1641</v>
      </c>
      <c r="C1242" s="16" t="str">
        <f>"V1402349030001"</f>
        <v>V1402349030001</v>
      </c>
      <c r="D1242" s="16" t="s">
        <v>5813</v>
      </c>
      <c r="E1242" s="16" t="s">
        <v>1011</v>
      </c>
      <c r="F1242" s="21">
        <v>9781259588501</v>
      </c>
      <c r="G1242" s="16" t="s">
        <v>1714</v>
      </c>
      <c r="H1242" s="16" t="s">
        <v>13</v>
      </c>
      <c r="I1242" s="16">
        <v>2011</v>
      </c>
      <c r="J1242" s="16" t="s">
        <v>5814</v>
      </c>
      <c r="K1242" s="16" t="s">
        <v>64</v>
      </c>
      <c r="L1242" s="16" t="s">
        <v>15</v>
      </c>
      <c r="M1242" s="16" t="s">
        <v>5815</v>
      </c>
      <c r="N1242" s="16"/>
      <c r="O1242" s="16"/>
    </row>
    <row r="1243" spans="1:15" x14ac:dyDescent="0.3">
      <c r="A1243" s="16">
        <v>1242</v>
      </c>
      <c r="B1243" s="16" t="s">
        <v>1641</v>
      </c>
      <c r="C1243" s="16" t="str">
        <f>"V1402349031001"</f>
        <v>V1402349031001</v>
      </c>
      <c r="D1243" s="16" t="s">
        <v>5816</v>
      </c>
      <c r="E1243" s="16" t="s">
        <v>1011</v>
      </c>
      <c r="F1243" s="21">
        <v>9781259588501</v>
      </c>
      <c r="G1243" s="16" t="s">
        <v>1695</v>
      </c>
      <c r="H1243" s="16" t="s">
        <v>13</v>
      </c>
      <c r="I1243" s="16">
        <v>2011</v>
      </c>
      <c r="J1243" s="16" t="s">
        <v>5817</v>
      </c>
      <c r="K1243" s="16" t="s">
        <v>5818</v>
      </c>
      <c r="L1243" s="16" t="s">
        <v>15</v>
      </c>
      <c r="M1243" s="16" t="s">
        <v>5819</v>
      </c>
      <c r="N1243" s="16"/>
      <c r="O1243" s="16"/>
    </row>
    <row r="1244" spans="1:15" x14ac:dyDescent="0.3">
      <c r="A1244" s="16">
        <v>1243</v>
      </c>
      <c r="B1244" s="16" t="s">
        <v>1641</v>
      </c>
      <c r="C1244" s="16" t="str">
        <f>"V1402349032001"</f>
        <v>V1402349032001</v>
      </c>
      <c r="D1244" s="16" t="s">
        <v>5820</v>
      </c>
      <c r="E1244" s="16" t="s">
        <v>1011</v>
      </c>
      <c r="F1244" s="21">
        <v>9781259588501</v>
      </c>
      <c r="G1244" s="16" t="s">
        <v>1726</v>
      </c>
      <c r="H1244" s="16" t="s">
        <v>13</v>
      </c>
      <c r="I1244" s="16">
        <v>2011</v>
      </c>
      <c r="J1244" s="16" t="s">
        <v>5821</v>
      </c>
      <c r="K1244" s="16" t="s">
        <v>5822</v>
      </c>
      <c r="L1244" s="16" t="s">
        <v>15</v>
      </c>
      <c r="M1244" s="16" t="s">
        <v>5823</v>
      </c>
      <c r="N1244" s="16"/>
      <c r="O1244" s="16"/>
    </row>
    <row r="1245" spans="1:15" x14ac:dyDescent="0.3">
      <c r="A1245" s="16">
        <v>1244</v>
      </c>
      <c r="B1245" s="16" t="s">
        <v>1641</v>
      </c>
      <c r="C1245" s="16" t="str">
        <f>"V1402349035001"</f>
        <v>V1402349035001</v>
      </c>
      <c r="D1245" s="16" t="s">
        <v>5824</v>
      </c>
      <c r="E1245" s="16" t="s">
        <v>1011</v>
      </c>
      <c r="F1245" s="21">
        <v>9781259588501</v>
      </c>
      <c r="G1245" s="16" t="s">
        <v>1695</v>
      </c>
      <c r="H1245" s="16" t="s">
        <v>13</v>
      </c>
      <c r="I1245" s="16">
        <v>2011</v>
      </c>
      <c r="J1245" s="16" t="s">
        <v>5825</v>
      </c>
      <c r="K1245" s="16" t="s">
        <v>5826</v>
      </c>
      <c r="L1245" s="16" t="s">
        <v>15</v>
      </c>
      <c r="M1245" s="16" t="s">
        <v>5827</v>
      </c>
      <c r="N1245" s="16"/>
      <c r="O1245" s="16"/>
    </row>
    <row r="1246" spans="1:15" x14ac:dyDescent="0.3">
      <c r="A1246" s="16">
        <v>1245</v>
      </c>
      <c r="B1246" s="16" t="s">
        <v>1641</v>
      </c>
      <c r="C1246" s="16" t="str">
        <f>"V1402349037001"</f>
        <v>V1402349037001</v>
      </c>
      <c r="D1246" s="16" t="s">
        <v>5828</v>
      </c>
      <c r="E1246" s="16" t="s">
        <v>1011</v>
      </c>
      <c r="F1246" s="21">
        <v>9781259588501</v>
      </c>
      <c r="G1246" s="16" t="s">
        <v>1686</v>
      </c>
      <c r="H1246" s="16" t="s">
        <v>13</v>
      </c>
      <c r="I1246" s="16">
        <v>2011</v>
      </c>
      <c r="J1246" s="16" t="s">
        <v>5829</v>
      </c>
      <c r="K1246" s="16" t="s">
        <v>5830</v>
      </c>
      <c r="L1246" s="16" t="s">
        <v>15</v>
      </c>
      <c r="M1246" s="16" t="s">
        <v>5831</v>
      </c>
      <c r="N1246" s="16"/>
      <c r="O1246" s="16"/>
    </row>
    <row r="1247" spans="1:15" x14ac:dyDescent="0.3">
      <c r="A1247" s="16">
        <v>1246</v>
      </c>
      <c r="B1247" s="16" t="s">
        <v>1641</v>
      </c>
      <c r="C1247" s="16" t="str">
        <f>"V1402349039001"</f>
        <v>V1402349039001</v>
      </c>
      <c r="D1247" s="16" t="s">
        <v>5832</v>
      </c>
      <c r="E1247" s="16" t="s">
        <v>1011</v>
      </c>
      <c r="F1247" s="21">
        <v>9781259588501</v>
      </c>
      <c r="G1247" s="16" t="s">
        <v>1686</v>
      </c>
      <c r="H1247" s="16" t="s">
        <v>13</v>
      </c>
      <c r="I1247" s="16">
        <v>2011</v>
      </c>
      <c r="J1247" s="16" t="s">
        <v>5833</v>
      </c>
      <c r="K1247" s="16" t="s">
        <v>5834</v>
      </c>
      <c r="L1247" s="16" t="s">
        <v>15</v>
      </c>
      <c r="M1247" s="16" t="s">
        <v>5835</v>
      </c>
      <c r="N1247" s="16"/>
      <c r="O1247" s="16"/>
    </row>
    <row r="1248" spans="1:15" x14ac:dyDescent="0.3">
      <c r="A1248" s="16">
        <v>1247</v>
      </c>
      <c r="B1248" s="16" t="s">
        <v>1641</v>
      </c>
      <c r="C1248" s="16" t="str">
        <f>"V1402349041001"</f>
        <v>V1402349041001</v>
      </c>
      <c r="D1248" s="16" t="s">
        <v>5836</v>
      </c>
      <c r="E1248" s="16" t="s">
        <v>1011</v>
      </c>
      <c r="F1248" s="21">
        <v>9781259588501</v>
      </c>
      <c r="G1248" s="16" t="s">
        <v>1686</v>
      </c>
      <c r="H1248" s="16" t="s">
        <v>13</v>
      </c>
      <c r="I1248" s="16">
        <v>2011</v>
      </c>
      <c r="J1248" s="16" t="s">
        <v>5837</v>
      </c>
      <c r="K1248" s="16" t="s">
        <v>5838</v>
      </c>
      <c r="L1248" s="16" t="s">
        <v>15</v>
      </c>
      <c r="M1248" s="16" t="s">
        <v>5839</v>
      </c>
      <c r="N1248" s="16"/>
      <c r="O1248" s="16"/>
    </row>
    <row r="1249" spans="1:15" x14ac:dyDescent="0.3">
      <c r="A1249" s="16">
        <v>1248</v>
      </c>
      <c r="B1249" s="16" t="s">
        <v>1641</v>
      </c>
      <c r="C1249" s="16" t="str">
        <f>"V2707151806001"</f>
        <v>V2707151806001</v>
      </c>
      <c r="D1249" s="16" t="s">
        <v>5840</v>
      </c>
      <c r="E1249" s="16" t="s">
        <v>2957</v>
      </c>
      <c r="F1249" s="19" t="s">
        <v>2958</v>
      </c>
      <c r="G1249" s="16" t="s">
        <v>2959</v>
      </c>
      <c r="H1249" s="16" t="s">
        <v>13</v>
      </c>
      <c r="I1249" s="16">
        <v>2013</v>
      </c>
      <c r="J1249" s="16" t="s">
        <v>5841</v>
      </c>
      <c r="K1249" s="16" t="s">
        <v>5842</v>
      </c>
      <c r="L1249" s="16" t="s">
        <v>15</v>
      </c>
      <c r="M1249" s="16" t="s">
        <v>5843</v>
      </c>
      <c r="N1249" s="16"/>
      <c r="O1249" s="16"/>
    </row>
    <row r="1250" spans="1:15" x14ac:dyDescent="0.3">
      <c r="A1250" s="16">
        <v>1249</v>
      </c>
      <c r="B1250" s="16" t="s">
        <v>1641</v>
      </c>
      <c r="C1250" s="16" t="str">
        <f>"V2707151807001"</f>
        <v>V2707151807001</v>
      </c>
      <c r="D1250" s="16" t="s">
        <v>5844</v>
      </c>
      <c r="E1250" s="16" t="s">
        <v>2957</v>
      </c>
      <c r="F1250" s="19" t="s">
        <v>2958</v>
      </c>
      <c r="G1250" s="16" t="s">
        <v>2959</v>
      </c>
      <c r="H1250" s="16" t="s">
        <v>13</v>
      </c>
      <c r="I1250" s="16">
        <v>2013</v>
      </c>
      <c r="J1250" s="16" t="s">
        <v>5845</v>
      </c>
      <c r="K1250" s="16" t="s">
        <v>5846</v>
      </c>
      <c r="L1250" s="16" t="s">
        <v>15</v>
      </c>
      <c r="M1250" s="16" t="s">
        <v>5847</v>
      </c>
      <c r="N1250" s="16"/>
      <c r="O1250" s="16"/>
    </row>
    <row r="1251" spans="1:15" x14ac:dyDescent="0.3">
      <c r="A1251" s="16">
        <v>1250</v>
      </c>
      <c r="B1251" s="16" t="s">
        <v>1641</v>
      </c>
      <c r="C1251" s="16" t="str">
        <f>"V2743257559001"</f>
        <v>V2743257559001</v>
      </c>
      <c r="D1251" s="16" t="s">
        <v>5848</v>
      </c>
      <c r="E1251" s="16" t="s">
        <v>5849</v>
      </c>
      <c r="F1251" s="21">
        <v>9780071636087</v>
      </c>
      <c r="G1251" s="16" t="s">
        <v>617</v>
      </c>
      <c r="H1251" s="16" t="s">
        <v>13</v>
      </c>
      <c r="I1251" s="16">
        <v>2011</v>
      </c>
      <c r="J1251" s="16" t="s">
        <v>312</v>
      </c>
      <c r="K1251" s="16" t="s">
        <v>98</v>
      </c>
      <c r="L1251" s="16" t="s">
        <v>15</v>
      </c>
      <c r="M1251" s="16" t="s">
        <v>5850</v>
      </c>
      <c r="N1251" s="16"/>
      <c r="O1251" s="16"/>
    </row>
    <row r="1252" spans="1:15" x14ac:dyDescent="0.3">
      <c r="A1252" s="16">
        <v>1251</v>
      </c>
      <c r="B1252" s="16" t="s">
        <v>1641</v>
      </c>
      <c r="C1252" s="16" t="str">
        <f>"V2743257560001"</f>
        <v>V2743257560001</v>
      </c>
      <c r="D1252" s="16" t="s">
        <v>5851</v>
      </c>
      <c r="E1252" s="16" t="s">
        <v>5849</v>
      </c>
      <c r="F1252" s="21">
        <v>9780071636087</v>
      </c>
      <c r="G1252" s="16" t="s">
        <v>617</v>
      </c>
      <c r="H1252" s="16" t="s">
        <v>13</v>
      </c>
      <c r="I1252" s="16">
        <v>2011</v>
      </c>
      <c r="J1252" s="16" t="s">
        <v>312</v>
      </c>
      <c r="K1252" s="16" t="s">
        <v>98</v>
      </c>
      <c r="L1252" s="16" t="s">
        <v>15</v>
      </c>
      <c r="M1252" s="16" t="s">
        <v>5852</v>
      </c>
      <c r="N1252" s="16"/>
      <c r="O1252" s="16"/>
    </row>
    <row r="1253" spans="1:15" x14ac:dyDescent="0.3">
      <c r="A1253" s="16">
        <v>1252</v>
      </c>
      <c r="B1253" s="16" t="s">
        <v>1641</v>
      </c>
      <c r="C1253" s="16" t="str">
        <f>"V2743257561001"</f>
        <v>V2743257561001</v>
      </c>
      <c r="D1253" s="16" t="s">
        <v>5853</v>
      </c>
      <c r="E1253" s="16" t="s">
        <v>5849</v>
      </c>
      <c r="F1253" s="21">
        <v>9780071636087</v>
      </c>
      <c r="G1253" s="16" t="s">
        <v>617</v>
      </c>
      <c r="H1253" s="16" t="s">
        <v>13</v>
      </c>
      <c r="I1253" s="16">
        <v>2011</v>
      </c>
      <c r="J1253" s="16" t="s">
        <v>312</v>
      </c>
      <c r="K1253" s="16" t="s">
        <v>98</v>
      </c>
      <c r="L1253" s="16" t="s">
        <v>15</v>
      </c>
      <c r="M1253" s="16" t="s">
        <v>5854</v>
      </c>
      <c r="N1253" s="16"/>
      <c r="O1253" s="16"/>
    </row>
    <row r="1254" spans="1:15" x14ac:dyDescent="0.3">
      <c r="A1254" s="16">
        <v>1253</v>
      </c>
      <c r="B1254" s="16" t="s">
        <v>1641</v>
      </c>
      <c r="C1254" s="16" t="str">
        <f>"V2743257562001"</f>
        <v>V2743257562001</v>
      </c>
      <c r="D1254" s="16" t="s">
        <v>5855</v>
      </c>
      <c r="E1254" s="16" t="s">
        <v>5849</v>
      </c>
      <c r="F1254" s="21">
        <v>9780071636087</v>
      </c>
      <c r="G1254" s="16" t="s">
        <v>617</v>
      </c>
      <c r="H1254" s="16" t="s">
        <v>13</v>
      </c>
      <c r="I1254" s="16">
        <v>2011</v>
      </c>
      <c r="J1254" s="16" t="s">
        <v>312</v>
      </c>
      <c r="K1254" s="16" t="s">
        <v>98</v>
      </c>
      <c r="L1254" s="16" t="s">
        <v>15</v>
      </c>
      <c r="M1254" s="16" t="s">
        <v>5856</v>
      </c>
      <c r="N1254" s="16"/>
      <c r="O1254" s="16"/>
    </row>
    <row r="1255" spans="1:15" x14ac:dyDescent="0.3">
      <c r="A1255" s="16">
        <v>1254</v>
      </c>
      <c r="B1255" s="16" t="s">
        <v>1641</v>
      </c>
      <c r="C1255" s="16" t="str">
        <f>"V2743257563001"</f>
        <v>V2743257563001</v>
      </c>
      <c r="D1255" s="16" t="s">
        <v>5857</v>
      </c>
      <c r="E1255" s="16" t="s">
        <v>5849</v>
      </c>
      <c r="F1255" s="21">
        <v>9780071636087</v>
      </c>
      <c r="G1255" s="16" t="s">
        <v>617</v>
      </c>
      <c r="H1255" s="16" t="s">
        <v>13</v>
      </c>
      <c r="I1255" s="16">
        <v>2011</v>
      </c>
      <c r="J1255" s="16" t="s">
        <v>312</v>
      </c>
      <c r="K1255" s="16" t="s">
        <v>98</v>
      </c>
      <c r="L1255" s="16" t="s">
        <v>15</v>
      </c>
      <c r="M1255" s="16" t="s">
        <v>5858</v>
      </c>
      <c r="N1255" s="16"/>
      <c r="O1255" s="16"/>
    </row>
    <row r="1256" spans="1:15" x14ac:dyDescent="0.3">
      <c r="A1256" s="16">
        <v>1255</v>
      </c>
      <c r="B1256" s="16" t="s">
        <v>1641</v>
      </c>
      <c r="C1256" s="16" t="str">
        <f>"V2743257564001"</f>
        <v>V2743257564001</v>
      </c>
      <c r="D1256" s="16" t="s">
        <v>5859</v>
      </c>
      <c r="E1256" s="16" t="s">
        <v>5849</v>
      </c>
      <c r="F1256" s="21">
        <v>9780071636087</v>
      </c>
      <c r="G1256" s="16" t="s">
        <v>617</v>
      </c>
      <c r="H1256" s="16" t="s">
        <v>13</v>
      </c>
      <c r="I1256" s="16">
        <v>2011</v>
      </c>
      <c r="J1256" s="16" t="s">
        <v>312</v>
      </c>
      <c r="K1256" s="16" t="s">
        <v>98</v>
      </c>
      <c r="L1256" s="16" t="s">
        <v>15</v>
      </c>
      <c r="M1256" s="16" t="s">
        <v>5860</v>
      </c>
      <c r="N1256" s="16"/>
      <c r="O1256" s="16"/>
    </row>
    <row r="1257" spans="1:15" x14ac:dyDescent="0.3">
      <c r="A1257" s="16">
        <v>1256</v>
      </c>
      <c r="B1257" s="16" t="s">
        <v>1641</v>
      </c>
      <c r="C1257" s="16" t="str">
        <f>"V2743257565001"</f>
        <v>V2743257565001</v>
      </c>
      <c r="D1257" s="16" t="s">
        <v>5861</v>
      </c>
      <c r="E1257" s="16" t="s">
        <v>5849</v>
      </c>
      <c r="F1257" s="21">
        <v>9780071636087</v>
      </c>
      <c r="G1257" s="16" t="s">
        <v>617</v>
      </c>
      <c r="H1257" s="16" t="s">
        <v>13</v>
      </c>
      <c r="I1257" s="16">
        <v>2011</v>
      </c>
      <c r="J1257" s="16" t="s">
        <v>312</v>
      </c>
      <c r="K1257" s="16" t="s">
        <v>98</v>
      </c>
      <c r="L1257" s="16" t="s">
        <v>15</v>
      </c>
      <c r="M1257" s="16" t="s">
        <v>5862</v>
      </c>
      <c r="N1257" s="16"/>
      <c r="O1257" s="16"/>
    </row>
    <row r="1258" spans="1:15" x14ac:dyDescent="0.3">
      <c r="A1258" s="16">
        <v>1257</v>
      </c>
      <c r="B1258" s="16" t="s">
        <v>1641</v>
      </c>
      <c r="C1258" s="16" t="str">
        <f>"V2743287866001"</f>
        <v>V2743287866001</v>
      </c>
      <c r="D1258" s="16" t="s">
        <v>5863</v>
      </c>
      <c r="E1258" s="16" t="s">
        <v>5849</v>
      </c>
      <c r="F1258" s="21">
        <v>9780071636087</v>
      </c>
      <c r="G1258" s="16" t="s">
        <v>617</v>
      </c>
      <c r="H1258" s="16" t="s">
        <v>13</v>
      </c>
      <c r="I1258" s="16">
        <v>2011</v>
      </c>
      <c r="J1258" s="16" t="s">
        <v>312</v>
      </c>
      <c r="K1258" s="16" t="s">
        <v>98</v>
      </c>
      <c r="L1258" s="16" t="s">
        <v>15</v>
      </c>
      <c r="M1258" s="16" t="s">
        <v>5864</v>
      </c>
      <c r="N1258" s="16"/>
      <c r="O1258" s="16"/>
    </row>
    <row r="1259" spans="1:15" x14ac:dyDescent="0.3">
      <c r="A1259" s="16">
        <v>1258</v>
      </c>
      <c r="B1259" s="16" t="s">
        <v>1641</v>
      </c>
      <c r="C1259" s="16" t="str">
        <f>"V2743287867001"</f>
        <v>V2743287867001</v>
      </c>
      <c r="D1259" s="16" t="s">
        <v>5865</v>
      </c>
      <c r="E1259" s="16" t="s">
        <v>5849</v>
      </c>
      <c r="F1259" s="21">
        <v>9780071636087</v>
      </c>
      <c r="G1259" s="16" t="s">
        <v>617</v>
      </c>
      <c r="H1259" s="16" t="s">
        <v>13</v>
      </c>
      <c r="I1259" s="16">
        <v>2011</v>
      </c>
      <c r="J1259" s="16" t="s">
        <v>312</v>
      </c>
      <c r="K1259" s="16" t="s">
        <v>98</v>
      </c>
      <c r="L1259" s="16" t="s">
        <v>15</v>
      </c>
      <c r="M1259" s="16" t="s">
        <v>5866</v>
      </c>
      <c r="N1259" s="16"/>
      <c r="O1259" s="16"/>
    </row>
    <row r="1260" spans="1:15" x14ac:dyDescent="0.3">
      <c r="A1260" s="16">
        <v>1259</v>
      </c>
      <c r="B1260" s="16" t="s">
        <v>1641</v>
      </c>
      <c r="C1260" s="16" t="str">
        <f>"V2743287868001"</f>
        <v>V2743287868001</v>
      </c>
      <c r="D1260" s="16" t="s">
        <v>5867</v>
      </c>
      <c r="E1260" s="16" t="s">
        <v>5849</v>
      </c>
      <c r="F1260" s="21">
        <v>9780071636087</v>
      </c>
      <c r="G1260" s="16" t="s">
        <v>617</v>
      </c>
      <c r="H1260" s="16" t="s">
        <v>13</v>
      </c>
      <c r="I1260" s="16">
        <v>2011</v>
      </c>
      <c r="J1260" s="16" t="s">
        <v>312</v>
      </c>
      <c r="K1260" s="16" t="s">
        <v>98</v>
      </c>
      <c r="L1260" s="16" t="s">
        <v>15</v>
      </c>
      <c r="M1260" s="16" t="s">
        <v>5868</v>
      </c>
      <c r="N1260" s="16"/>
      <c r="O1260" s="16"/>
    </row>
    <row r="1261" spans="1:15" x14ac:dyDescent="0.3">
      <c r="A1261" s="16">
        <v>1260</v>
      </c>
      <c r="B1261" s="16" t="s">
        <v>1641</v>
      </c>
      <c r="C1261" s="16" t="str">
        <f>"V2743287869001"</f>
        <v>V2743287869001</v>
      </c>
      <c r="D1261" s="16" t="s">
        <v>5869</v>
      </c>
      <c r="E1261" s="16" t="s">
        <v>5849</v>
      </c>
      <c r="F1261" s="21">
        <v>9780071636087</v>
      </c>
      <c r="G1261" s="16" t="s">
        <v>617</v>
      </c>
      <c r="H1261" s="16" t="s">
        <v>13</v>
      </c>
      <c r="I1261" s="16">
        <v>2011</v>
      </c>
      <c r="J1261" s="16" t="s">
        <v>312</v>
      </c>
      <c r="K1261" s="16" t="s">
        <v>98</v>
      </c>
      <c r="L1261" s="16" t="s">
        <v>15</v>
      </c>
      <c r="M1261" s="16" t="s">
        <v>5870</v>
      </c>
      <c r="N1261" s="16"/>
      <c r="O1261" s="16"/>
    </row>
    <row r="1262" spans="1:15" x14ac:dyDescent="0.3">
      <c r="A1262" s="16">
        <v>1261</v>
      </c>
      <c r="B1262" s="16" t="s">
        <v>1641</v>
      </c>
      <c r="C1262" s="16" t="str">
        <f>"V2743287870001"</f>
        <v>V2743287870001</v>
      </c>
      <c r="D1262" s="16" t="s">
        <v>5871</v>
      </c>
      <c r="E1262" s="16" t="s">
        <v>5849</v>
      </c>
      <c r="F1262" s="21">
        <v>9780071636087</v>
      </c>
      <c r="G1262" s="16" t="s">
        <v>617</v>
      </c>
      <c r="H1262" s="16" t="s">
        <v>13</v>
      </c>
      <c r="I1262" s="16">
        <v>2011</v>
      </c>
      <c r="J1262" s="16" t="s">
        <v>312</v>
      </c>
      <c r="K1262" s="16" t="s">
        <v>98</v>
      </c>
      <c r="L1262" s="16" t="s">
        <v>15</v>
      </c>
      <c r="M1262" s="16" t="s">
        <v>5872</v>
      </c>
      <c r="N1262" s="16"/>
      <c r="O1262" s="16"/>
    </row>
    <row r="1263" spans="1:15" x14ac:dyDescent="0.3">
      <c r="A1263" s="16">
        <v>1262</v>
      </c>
      <c r="B1263" s="16" t="s">
        <v>1641</v>
      </c>
      <c r="C1263" s="16" t="str">
        <f>"V2758874973001"</f>
        <v>V2758874973001</v>
      </c>
      <c r="D1263" s="16" t="s">
        <v>5873</v>
      </c>
      <c r="E1263" s="16" t="s">
        <v>3047</v>
      </c>
      <c r="F1263" s="21">
        <v>9780071772341</v>
      </c>
      <c r="G1263" s="16" t="s">
        <v>3048</v>
      </c>
      <c r="H1263" s="16" t="s">
        <v>13</v>
      </c>
      <c r="I1263" s="16">
        <v>2013</v>
      </c>
      <c r="J1263" s="16" t="s">
        <v>5874</v>
      </c>
      <c r="K1263" s="16" t="s">
        <v>3071</v>
      </c>
      <c r="L1263" s="16" t="s">
        <v>15</v>
      </c>
      <c r="M1263" s="16" t="s">
        <v>5875</v>
      </c>
      <c r="N1263" s="16"/>
      <c r="O1263" s="16"/>
    </row>
    <row r="1264" spans="1:15" x14ac:dyDescent="0.3">
      <c r="A1264" s="16">
        <v>1263</v>
      </c>
      <c r="B1264" s="16" t="s">
        <v>1641</v>
      </c>
      <c r="C1264" s="16" t="str">
        <f>"V2758874974001"</f>
        <v>V2758874974001</v>
      </c>
      <c r="D1264" s="16" t="s">
        <v>5876</v>
      </c>
      <c r="E1264" s="16" t="s">
        <v>3047</v>
      </c>
      <c r="F1264" s="21">
        <v>9780071772341</v>
      </c>
      <c r="G1264" s="16" t="s">
        <v>3048</v>
      </c>
      <c r="H1264" s="16" t="s">
        <v>13</v>
      </c>
      <c r="I1264" s="16">
        <v>2013</v>
      </c>
      <c r="J1264" s="16" t="s">
        <v>5877</v>
      </c>
      <c r="K1264" s="16" t="s">
        <v>3071</v>
      </c>
      <c r="L1264" s="16" t="s">
        <v>15</v>
      </c>
      <c r="M1264" s="16" t="s">
        <v>5878</v>
      </c>
      <c r="N1264" s="16"/>
      <c r="O1264" s="16"/>
    </row>
    <row r="1265" spans="1:15" x14ac:dyDescent="0.3">
      <c r="A1265" s="16">
        <v>1264</v>
      </c>
      <c r="B1265" s="16" t="s">
        <v>1641</v>
      </c>
      <c r="C1265" s="16" t="str">
        <f>"V2758874975001"</f>
        <v>V2758874975001</v>
      </c>
      <c r="D1265" s="16" t="s">
        <v>5879</v>
      </c>
      <c r="E1265" s="16" t="s">
        <v>3047</v>
      </c>
      <c r="F1265" s="21">
        <v>9780071772341</v>
      </c>
      <c r="G1265" s="16" t="s">
        <v>3048</v>
      </c>
      <c r="H1265" s="16" t="s">
        <v>13</v>
      </c>
      <c r="I1265" s="16">
        <v>2013</v>
      </c>
      <c r="J1265" s="16" t="s">
        <v>5880</v>
      </c>
      <c r="K1265" s="16" t="s">
        <v>1711</v>
      </c>
      <c r="L1265" s="16" t="s">
        <v>15</v>
      </c>
      <c r="M1265" s="16" t="s">
        <v>5881</v>
      </c>
      <c r="N1265" s="16"/>
      <c r="O1265" s="16"/>
    </row>
    <row r="1266" spans="1:15" x14ac:dyDescent="0.3">
      <c r="A1266" s="16">
        <v>1265</v>
      </c>
      <c r="B1266" s="16" t="s">
        <v>1641</v>
      </c>
      <c r="C1266" s="16" t="str">
        <f>"V2758874976001"</f>
        <v>V2758874976001</v>
      </c>
      <c r="D1266" s="16" t="s">
        <v>5882</v>
      </c>
      <c r="E1266" s="16" t="s">
        <v>3047</v>
      </c>
      <c r="F1266" s="21">
        <v>9780071772341</v>
      </c>
      <c r="G1266" s="16" t="s">
        <v>3048</v>
      </c>
      <c r="H1266" s="16" t="s">
        <v>13</v>
      </c>
      <c r="I1266" s="16">
        <v>2013</v>
      </c>
      <c r="J1266" s="16" t="s">
        <v>5883</v>
      </c>
      <c r="K1266" s="16" t="s">
        <v>3071</v>
      </c>
      <c r="L1266" s="16" t="s">
        <v>15</v>
      </c>
      <c r="M1266" s="16" t="s">
        <v>5884</v>
      </c>
      <c r="N1266" s="16"/>
      <c r="O1266" s="16"/>
    </row>
    <row r="1267" spans="1:15" x14ac:dyDescent="0.3">
      <c r="A1267" s="16">
        <v>1266</v>
      </c>
      <c r="B1267" s="16" t="s">
        <v>1641</v>
      </c>
      <c r="C1267" s="16" t="str">
        <f>"V2758874977001"</f>
        <v>V2758874977001</v>
      </c>
      <c r="D1267" s="16" t="s">
        <v>5885</v>
      </c>
      <c r="E1267" s="16" t="s">
        <v>3047</v>
      </c>
      <c r="F1267" s="21">
        <v>9780071772341</v>
      </c>
      <c r="G1267" s="16" t="s">
        <v>3048</v>
      </c>
      <c r="H1267" s="16" t="s">
        <v>13</v>
      </c>
      <c r="I1267" s="16">
        <v>2013</v>
      </c>
      <c r="J1267" s="16" t="s">
        <v>5886</v>
      </c>
      <c r="K1267" s="16" t="s">
        <v>5887</v>
      </c>
      <c r="L1267" s="16" t="s">
        <v>15</v>
      </c>
      <c r="M1267" s="16" t="s">
        <v>5888</v>
      </c>
      <c r="N1267" s="16"/>
      <c r="O1267" s="16"/>
    </row>
    <row r="1268" spans="1:15" x14ac:dyDescent="0.3">
      <c r="A1268" s="16">
        <v>1267</v>
      </c>
      <c r="B1268" s="16" t="s">
        <v>1641</v>
      </c>
      <c r="C1268" s="16" t="str">
        <f>"V6342978573112"</f>
        <v>V6342978573112</v>
      </c>
      <c r="D1268" s="16" t="s">
        <v>5889</v>
      </c>
      <c r="E1268" s="16" t="s">
        <v>5890</v>
      </c>
      <c r="F1268" s="21">
        <v>9781265515478</v>
      </c>
      <c r="G1268" s="16" t="s">
        <v>5891</v>
      </c>
      <c r="H1268" s="16" t="s">
        <v>13</v>
      </c>
      <c r="I1268" s="16">
        <v>2024</v>
      </c>
      <c r="J1268" s="16" t="s">
        <v>5892</v>
      </c>
      <c r="K1268" s="16" t="s">
        <v>339</v>
      </c>
      <c r="L1268" s="16" t="s">
        <v>15</v>
      </c>
      <c r="M1268" s="16" t="s">
        <v>5893</v>
      </c>
      <c r="N1268" s="16"/>
      <c r="O1268" s="16"/>
    </row>
    <row r="1269" spans="1:15" x14ac:dyDescent="0.3">
      <c r="A1269" s="16">
        <v>1268</v>
      </c>
      <c r="B1269" s="16" t="s">
        <v>1641</v>
      </c>
      <c r="C1269" s="16" t="str">
        <f>"V6342978189112"</f>
        <v>V6342978189112</v>
      </c>
      <c r="D1269" s="16" t="s">
        <v>5894</v>
      </c>
      <c r="E1269" s="16" t="s">
        <v>5890</v>
      </c>
      <c r="F1269" s="21">
        <v>9781265515478</v>
      </c>
      <c r="G1269" s="16" t="s">
        <v>5891</v>
      </c>
      <c r="H1269" s="16" t="s">
        <v>13</v>
      </c>
      <c r="I1269" s="16">
        <v>2024</v>
      </c>
      <c r="J1269" s="16" t="s">
        <v>5895</v>
      </c>
      <c r="K1269" s="16" t="s">
        <v>339</v>
      </c>
      <c r="L1269" s="16" t="s">
        <v>15</v>
      </c>
      <c r="M1269" s="16" t="s">
        <v>5896</v>
      </c>
      <c r="N1269" s="16"/>
      <c r="O1269" s="16"/>
    </row>
    <row r="1270" spans="1:15" x14ac:dyDescent="0.3">
      <c r="A1270" s="16">
        <v>1269</v>
      </c>
      <c r="B1270" s="16" t="s">
        <v>1641</v>
      </c>
      <c r="C1270" s="16" t="str">
        <f>"V6342977984112"</f>
        <v>V6342977984112</v>
      </c>
      <c r="D1270" s="16" t="s">
        <v>5897</v>
      </c>
      <c r="E1270" s="16" t="s">
        <v>5890</v>
      </c>
      <c r="F1270" s="21">
        <v>9781265515478</v>
      </c>
      <c r="G1270" s="16" t="s">
        <v>5891</v>
      </c>
      <c r="H1270" s="16" t="s">
        <v>13</v>
      </c>
      <c r="I1270" s="16">
        <v>2024</v>
      </c>
      <c r="J1270" s="16" t="s">
        <v>5898</v>
      </c>
      <c r="K1270" s="16" t="s">
        <v>90</v>
      </c>
      <c r="L1270" s="16" t="s">
        <v>15</v>
      </c>
      <c r="M1270" s="16" t="s">
        <v>5899</v>
      </c>
      <c r="N1270" s="16"/>
      <c r="O1270" s="16"/>
    </row>
    <row r="1271" spans="1:15" x14ac:dyDescent="0.3">
      <c r="A1271" s="16">
        <v>1270</v>
      </c>
      <c r="B1271" s="16" t="s">
        <v>1641</v>
      </c>
      <c r="C1271" s="16" t="str">
        <f>"V6342977134112"</f>
        <v>V6342977134112</v>
      </c>
      <c r="D1271" s="16" t="s">
        <v>5900</v>
      </c>
      <c r="E1271" s="16" t="s">
        <v>5890</v>
      </c>
      <c r="F1271" s="21">
        <v>9781265515478</v>
      </c>
      <c r="G1271" s="16" t="s">
        <v>5891</v>
      </c>
      <c r="H1271" s="16" t="s">
        <v>13</v>
      </c>
      <c r="I1271" s="16">
        <v>2024</v>
      </c>
      <c r="J1271" s="16" t="s">
        <v>5901</v>
      </c>
      <c r="K1271" s="16" t="s">
        <v>5902</v>
      </c>
      <c r="L1271" s="16" t="s">
        <v>15</v>
      </c>
      <c r="M1271" s="16" t="s">
        <v>5903</v>
      </c>
      <c r="N1271" s="16"/>
      <c r="O1271" s="16"/>
    </row>
    <row r="1272" spans="1:15" x14ac:dyDescent="0.3">
      <c r="A1272" s="16">
        <v>1271</v>
      </c>
      <c r="B1272" s="16" t="s">
        <v>1641</v>
      </c>
      <c r="C1272" s="16" t="str">
        <f>"V6342978188112"</f>
        <v>V6342978188112</v>
      </c>
      <c r="D1272" s="16" t="s">
        <v>5904</v>
      </c>
      <c r="E1272" s="16" t="s">
        <v>5890</v>
      </c>
      <c r="F1272" s="21">
        <v>9781265515478</v>
      </c>
      <c r="G1272" s="16" t="s">
        <v>5891</v>
      </c>
      <c r="H1272" s="16" t="s">
        <v>13</v>
      </c>
      <c r="I1272" s="16">
        <v>2024</v>
      </c>
      <c r="J1272" s="16" t="s">
        <v>5898</v>
      </c>
      <c r="K1272" s="16" t="s">
        <v>90</v>
      </c>
      <c r="L1272" s="16" t="s">
        <v>15</v>
      </c>
      <c r="M1272" s="16" t="s">
        <v>5905</v>
      </c>
      <c r="N1272" s="16"/>
      <c r="O1272" s="16"/>
    </row>
    <row r="1273" spans="1:15" x14ac:dyDescent="0.3">
      <c r="A1273" s="16">
        <v>1272</v>
      </c>
      <c r="B1273" s="16" t="s">
        <v>1641</v>
      </c>
      <c r="C1273" s="16" t="str">
        <f>"V6342978475112"</f>
        <v>V6342978475112</v>
      </c>
      <c r="D1273" s="16" t="s">
        <v>5906</v>
      </c>
      <c r="E1273" s="16" t="s">
        <v>5890</v>
      </c>
      <c r="F1273" s="21">
        <v>9781265515478</v>
      </c>
      <c r="G1273" s="16" t="s">
        <v>5891</v>
      </c>
      <c r="H1273" s="16" t="s">
        <v>13</v>
      </c>
      <c r="I1273" s="16">
        <v>2024</v>
      </c>
      <c r="J1273" s="16" t="s">
        <v>5907</v>
      </c>
      <c r="K1273" s="16" t="s">
        <v>5908</v>
      </c>
      <c r="L1273" s="16" t="s">
        <v>15</v>
      </c>
      <c r="M1273" s="16" t="s">
        <v>5909</v>
      </c>
      <c r="N1273" s="16"/>
      <c r="O1273" s="16"/>
    </row>
    <row r="1274" spans="1:15" x14ac:dyDescent="0.3">
      <c r="A1274" s="16">
        <v>1273</v>
      </c>
      <c r="B1274" s="16" t="s">
        <v>1641</v>
      </c>
      <c r="C1274" s="16" t="str">
        <f>"V6342976822112"</f>
        <v>V6342976822112</v>
      </c>
      <c r="D1274" s="16" t="s">
        <v>5910</v>
      </c>
      <c r="E1274" s="16" t="s">
        <v>5890</v>
      </c>
      <c r="F1274" s="21">
        <v>9781265515478</v>
      </c>
      <c r="G1274" s="16" t="s">
        <v>5891</v>
      </c>
      <c r="H1274" s="16" t="s">
        <v>13</v>
      </c>
      <c r="I1274" s="16">
        <v>2024</v>
      </c>
      <c r="J1274" s="16" t="s">
        <v>5911</v>
      </c>
      <c r="K1274" s="16" t="s">
        <v>5912</v>
      </c>
      <c r="L1274" s="16" t="s">
        <v>15</v>
      </c>
      <c r="M1274" s="16" t="s">
        <v>5913</v>
      </c>
      <c r="N1274" s="16"/>
      <c r="O1274" s="16"/>
    </row>
    <row r="1275" spans="1:15" x14ac:dyDescent="0.3">
      <c r="A1275" s="16">
        <v>1274</v>
      </c>
      <c r="B1275" s="16" t="s">
        <v>1641</v>
      </c>
      <c r="C1275" s="16" t="str">
        <f>"V6342976626112"</f>
        <v>V6342976626112</v>
      </c>
      <c r="D1275" s="16" t="s">
        <v>5914</v>
      </c>
      <c r="E1275" s="16" t="s">
        <v>5890</v>
      </c>
      <c r="F1275" s="21">
        <v>9781265515478</v>
      </c>
      <c r="G1275" s="16" t="s">
        <v>5891</v>
      </c>
      <c r="H1275" s="16" t="s">
        <v>13</v>
      </c>
      <c r="I1275" s="16">
        <v>2024</v>
      </c>
      <c r="J1275" s="16" t="s">
        <v>5915</v>
      </c>
      <c r="K1275" s="16" t="s">
        <v>339</v>
      </c>
      <c r="L1275" s="16" t="s">
        <v>15</v>
      </c>
      <c r="M1275" s="16" t="s">
        <v>5916</v>
      </c>
      <c r="N1275" s="16"/>
      <c r="O1275" s="16"/>
    </row>
    <row r="1276" spans="1:15" x14ac:dyDescent="0.3">
      <c r="A1276" s="16">
        <v>1275</v>
      </c>
      <c r="B1276" s="16" t="s">
        <v>1641</v>
      </c>
      <c r="C1276" s="16" t="str">
        <f>"V6342977898112"</f>
        <v>V6342977898112</v>
      </c>
      <c r="D1276" s="16" t="s">
        <v>5917</v>
      </c>
      <c r="E1276" s="16" t="s">
        <v>5890</v>
      </c>
      <c r="F1276" s="21">
        <v>9781265515478</v>
      </c>
      <c r="G1276" s="16" t="s">
        <v>5891</v>
      </c>
      <c r="H1276" s="16" t="s">
        <v>13</v>
      </c>
      <c r="I1276" s="16">
        <v>2024</v>
      </c>
      <c r="J1276" s="16" t="s">
        <v>5918</v>
      </c>
      <c r="K1276" s="16" t="s">
        <v>339</v>
      </c>
      <c r="L1276" s="16" t="s">
        <v>15</v>
      </c>
      <c r="M1276" s="16" t="s">
        <v>5919</v>
      </c>
      <c r="N1276" s="16"/>
      <c r="O1276" s="16"/>
    </row>
    <row r="1277" spans="1:15" x14ac:dyDescent="0.3">
      <c r="A1277" s="16">
        <v>1276</v>
      </c>
      <c r="B1277" s="16" t="s">
        <v>1641</v>
      </c>
      <c r="C1277" s="16" t="str">
        <f>"V6342977522112"</f>
        <v>V6342977522112</v>
      </c>
      <c r="D1277" s="16" t="s">
        <v>5920</v>
      </c>
      <c r="E1277" s="16" t="s">
        <v>5890</v>
      </c>
      <c r="F1277" s="21">
        <v>9781265515478</v>
      </c>
      <c r="G1277" s="16" t="s">
        <v>5891</v>
      </c>
      <c r="H1277" s="16" t="s">
        <v>13</v>
      </c>
      <c r="I1277" s="16">
        <v>2024</v>
      </c>
      <c r="J1277" s="16" t="s">
        <v>5921</v>
      </c>
      <c r="K1277" s="16" t="s">
        <v>339</v>
      </c>
      <c r="L1277" s="16" t="s">
        <v>15</v>
      </c>
      <c r="M1277" s="16" t="s">
        <v>5922</v>
      </c>
      <c r="N1277" s="16"/>
      <c r="O1277" s="16"/>
    </row>
    <row r="1278" spans="1:15" x14ac:dyDescent="0.3">
      <c r="A1278" s="16">
        <v>1277</v>
      </c>
      <c r="B1278" s="16" t="s">
        <v>1641</v>
      </c>
      <c r="C1278" s="16" t="str">
        <f>"V6342976945112"</f>
        <v>V6342976945112</v>
      </c>
      <c r="D1278" s="16" t="s">
        <v>5923</v>
      </c>
      <c r="E1278" s="16" t="s">
        <v>5890</v>
      </c>
      <c r="F1278" s="21">
        <v>9781265515478</v>
      </c>
      <c r="G1278" s="16" t="s">
        <v>5891</v>
      </c>
      <c r="H1278" s="16" t="s">
        <v>13</v>
      </c>
      <c r="I1278" s="16">
        <v>2024</v>
      </c>
      <c r="J1278" s="16" t="s">
        <v>5924</v>
      </c>
      <c r="K1278" s="16" t="s">
        <v>339</v>
      </c>
      <c r="L1278" s="16" t="s">
        <v>15</v>
      </c>
      <c r="M1278" s="16" t="s">
        <v>5925</v>
      </c>
      <c r="N1278" s="16"/>
      <c r="O1278" s="16"/>
    </row>
    <row r="1279" spans="1:15" x14ac:dyDescent="0.3">
      <c r="A1279" s="16">
        <v>1278</v>
      </c>
      <c r="B1279" s="16" t="s">
        <v>1641</v>
      </c>
      <c r="C1279" s="16" t="str">
        <f>"V6342977693112"</f>
        <v>V6342977693112</v>
      </c>
      <c r="D1279" s="16" t="s">
        <v>5926</v>
      </c>
      <c r="E1279" s="16" t="s">
        <v>5890</v>
      </c>
      <c r="F1279" s="21">
        <v>9781265515478</v>
      </c>
      <c r="G1279" s="16" t="s">
        <v>5891</v>
      </c>
      <c r="H1279" s="16" t="s">
        <v>13</v>
      </c>
      <c r="I1279" s="16">
        <v>2024</v>
      </c>
      <c r="J1279" s="16" t="s">
        <v>5927</v>
      </c>
      <c r="K1279" s="16" t="s">
        <v>339</v>
      </c>
      <c r="L1279" s="16" t="s">
        <v>15</v>
      </c>
      <c r="M1279" s="16" t="s">
        <v>5928</v>
      </c>
      <c r="N1279" s="16"/>
      <c r="O1279" s="16"/>
    </row>
    <row r="1280" spans="1:15" x14ac:dyDescent="0.3">
      <c r="A1280" s="16">
        <v>1279</v>
      </c>
      <c r="B1280" s="16" t="s">
        <v>1641</v>
      </c>
      <c r="C1280" s="16" t="str">
        <f>"V6342978675112"</f>
        <v>V6342978675112</v>
      </c>
      <c r="D1280" s="16" t="s">
        <v>5929</v>
      </c>
      <c r="E1280" s="16" t="s">
        <v>5890</v>
      </c>
      <c r="F1280" s="21">
        <v>9781265515478</v>
      </c>
      <c r="G1280" s="16" t="s">
        <v>5891</v>
      </c>
      <c r="H1280" s="16" t="s">
        <v>13</v>
      </c>
      <c r="I1280" s="16">
        <v>2024</v>
      </c>
      <c r="J1280" s="16" t="s">
        <v>5930</v>
      </c>
      <c r="K1280" s="16" t="s">
        <v>5931</v>
      </c>
      <c r="L1280" s="16" t="s">
        <v>15</v>
      </c>
      <c r="M1280" s="16" t="s">
        <v>5932</v>
      </c>
      <c r="N1280" s="16"/>
      <c r="O1280" s="16"/>
    </row>
    <row r="1281" spans="1:15" x14ac:dyDescent="0.3">
      <c r="A1281" s="16">
        <v>1280</v>
      </c>
      <c r="B1281" s="16" t="s">
        <v>1641</v>
      </c>
      <c r="C1281" s="16" t="str">
        <f>"V6342978076112"</f>
        <v>V6342978076112</v>
      </c>
      <c r="D1281" s="16" t="s">
        <v>5933</v>
      </c>
      <c r="E1281" s="16" t="s">
        <v>5890</v>
      </c>
      <c r="F1281" s="21">
        <v>9781265515478</v>
      </c>
      <c r="G1281" s="16" t="s">
        <v>5891</v>
      </c>
      <c r="H1281" s="16" t="s">
        <v>13</v>
      </c>
      <c r="I1281" s="16">
        <v>2024</v>
      </c>
      <c r="J1281" s="16" t="s">
        <v>5934</v>
      </c>
      <c r="K1281" s="16" t="s">
        <v>339</v>
      </c>
      <c r="L1281" s="16" t="s">
        <v>15</v>
      </c>
      <c r="M1281" s="16" t="s">
        <v>5935</v>
      </c>
      <c r="N1281" s="16"/>
      <c r="O1281" s="16"/>
    </row>
    <row r="1282" spans="1:15" x14ac:dyDescent="0.3">
      <c r="A1282" s="16">
        <v>1281</v>
      </c>
      <c r="B1282" s="16" t="s">
        <v>1641</v>
      </c>
      <c r="C1282" s="16" t="str">
        <f>"V6342978572112"</f>
        <v>V6342978572112</v>
      </c>
      <c r="D1282" s="16" t="s">
        <v>5936</v>
      </c>
      <c r="E1282" s="16" t="s">
        <v>5890</v>
      </c>
      <c r="F1282" s="21">
        <v>9781265515478</v>
      </c>
      <c r="G1282" s="16" t="s">
        <v>5891</v>
      </c>
      <c r="H1282" s="16" t="s">
        <v>13</v>
      </c>
      <c r="I1282" s="16">
        <v>2024</v>
      </c>
      <c r="J1282" s="16" t="s">
        <v>5937</v>
      </c>
      <c r="K1282" s="16" t="s">
        <v>339</v>
      </c>
      <c r="L1282" s="16" t="s">
        <v>15</v>
      </c>
      <c r="M1282" s="16" t="s">
        <v>5938</v>
      </c>
      <c r="N1282" s="16"/>
      <c r="O1282" s="16"/>
    </row>
    <row r="1283" spans="1:15" x14ac:dyDescent="0.3">
      <c r="A1283" s="16">
        <v>1282</v>
      </c>
      <c r="B1283" s="16" t="s">
        <v>1641</v>
      </c>
      <c r="C1283" s="16" t="str">
        <f>"V6342976627112"</f>
        <v>V6342976627112</v>
      </c>
      <c r="D1283" s="16" t="s">
        <v>5939</v>
      </c>
      <c r="E1283" s="16" t="s">
        <v>5890</v>
      </c>
      <c r="F1283" s="21">
        <v>9781265515478</v>
      </c>
      <c r="G1283" s="16" t="s">
        <v>5891</v>
      </c>
      <c r="H1283" s="16" t="s">
        <v>13</v>
      </c>
      <c r="I1283" s="16">
        <v>2024</v>
      </c>
      <c r="J1283" s="16" t="s">
        <v>5940</v>
      </c>
      <c r="K1283" s="16" t="s">
        <v>5941</v>
      </c>
      <c r="L1283" s="16" t="s">
        <v>15</v>
      </c>
      <c r="M1283" s="16" t="s">
        <v>5942</v>
      </c>
      <c r="N1283" s="16"/>
      <c r="O1283" s="16"/>
    </row>
    <row r="1284" spans="1:15" x14ac:dyDescent="0.3">
      <c r="A1284" s="16">
        <v>1283</v>
      </c>
      <c r="B1284" s="16" t="s">
        <v>1641</v>
      </c>
      <c r="C1284" s="16" t="str">
        <f>"V6342976418112"</f>
        <v>V6342976418112</v>
      </c>
      <c r="D1284" s="16" t="s">
        <v>5943</v>
      </c>
      <c r="E1284" s="16" t="s">
        <v>5890</v>
      </c>
      <c r="F1284" s="21">
        <v>9781265515478</v>
      </c>
      <c r="G1284" s="16" t="s">
        <v>5891</v>
      </c>
      <c r="H1284" s="16" t="s">
        <v>13</v>
      </c>
      <c r="I1284" s="16">
        <v>2024</v>
      </c>
      <c r="J1284" s="16" t="s">
        <v>5898</v>
      </c>
      <c r="K1284" s="16" t="s">
        <v>90</v>
      </c>
      <c r="L1284" s="16" t="s">
        <v>15</v>
      </c>
      <c r="M1284" s="16" t="s">
        <v>5944</v>
      </c>
      <c r="N1284" s="16"/>
      <c r="O1284" s="16"/>
    </row>
    <row r="1285" spans="1:15" x14ac:dyDescent="0.3">
      <c r="A1285" s="16">
        <v>1284</v>
      </c>
      <c r="B1285" s="16" t="s">
        <v>1641</v>
      </c>
      <c r="C1285" s="16" t="str">
        <f>"V6342978673112"</f>
        <v>V6342978673112</v>
      </c>
      <c r="D1285" s="16" t="s">
        <v>5945</v>
      </c>
      <c r="E1285" s="16" t="s">
        <v>5890</v>
      </c>
      <c r="F1285" s="21">
        <v>9781265515478</v>
      </c>
      <c r="G1285" s="16" t="s">
        <v>5891</v>
      </c>
      <c r="H1285" s="16" t="s">
        <v>13</v>
      </c>
      <c r="I1285" s="16">
        <v>2024</v>
      </c>
      <c r="J1285" s="16" t="s">
        <v>5898</v>
      </c>
      <c r="K1285" s="16" t="s">
        <v>90</v>
      </c>
      <c r="L1285" s="16" t="s">
        <v>15</v>
      </c>
      <c r="M1285" s="16" t="s">
        <v>5946</v>
      </c>
      <c r="N1285" s="16"/>
      <c r="O1285" s="16"/>
    </row>
    <row r="1286" spans="1:15" x14ac:dyDescent="0.3">
      <c r="A1286" s="16">
        <v>1285</v>
      </c>
      <c r="B1286" s="16" t="s">
        <v>1641</v>
      </c>
      <c r="C1286" s="16" t="str">
        <f>"V6342976139112"</f>
        <v>V6342976139112</v>
      </c>
      <c r="D1286" s="16" t="s">
        <v>5947</v>
      </c>
      <c r="E1286" s="16" t="s">
        <v>5890</v>
      </c>
      <c r="F1286" s="21">
        <v>9781265515478</v>
      </c>
      <c r="G1286" s="16" t="s">
        <v>5891</v>
      </c>
      <c r="H1286" s="16" t="s">
        <v>13</v>
      </c>
      <c r="I1286" s="16">
        <v>2024</v>
      </c>
      <c r="J1286" s="16" t="s">
        <v>5948</v>
      </c>
      <c r="K1286" s="16" t="s">
        <v>339</v>
      </c>
      <c r="L1286" s="16" t="s">
        <v>15</v>
      </c>
      <c r="M1286" s="16" t="s">
        <v>5949</v>
      </c>
      <c r="N1286" s="16"/>
      <c r="O1286" s="16"/>
    </row>
    <row r="1287" spans="1:15" x14ac:dyDescent="0.3">
      <c r="A1287" s="16">
        <v>1286</v>
      </c>
      <c r="B1287" s="16" t="s">
        <v>1641</v>
      </c>
      <c r="C1287" s="16" t="str">
        <f>"V6342978770112"</f>
        <v>V6342978770112</v>
      </c>
      <c r="D1287" s="16" t="s">
        <v>5950</v>
      </c>
      <c r="E1287" s="16" t="s">
        <v>5890</v>
      </c>
      <c r="F1287" s="21">
        <v>9781265515478</v>
      </c>
      <c r="G1287" s="16" t="s">
        <v>5891</v>
      </c>
      <c r="H1287" s="16" t="s">
        <v>13</v>
      </c>
      <c r="I1287" s="16">
        <v>2024</v>
      </c>
      <c r="J1287" s="16" t="s">
        <v>5951</v>
      </c>
      <c r="K1287" s="16" t="s">
        <v>339</v>
      </c>
      <c r="L1287" s="16" t="s">
        <v>15</v>
      </c>
      <c r="M1287" s="16" t="s">
        <v>5952</v>
      </c>
      <c r="N1287" s="16"/>
      <c r="O1287" s="16"/>
    </row>
    <row r="1288" spans="1:15" x14ac:dyDescent="0.3">
      <c r="A1288" s="16">
        <v>1287</v>
      </c>
      <c r="B1288" s="16" t="s">
        <v>1641</v>
      </c>
      <c r="C1288" s="16" t="str">
        <f>"V6342978571112"</f>
        <v>V6342978571112</v>
      </c>
      <c r="D1288" s="16" t="s">
        <v>5953</v>
      </c>
      <c r="E1288" s="16" t="s">
        <v>5954</v>
      </c>
      <c r="F1288" s="21">
        <v>9781265515478</v>
      </c>
      <c r="G1288" s="16" t="s">
        <v>5955</v>
      </c>
      <c r="H1288" s="16" t="s">
        <v>4152</v>
      </c>
      <c r="I1288" s="16">
        <v>2024</v>
      </c>
      <c r="J1288" s="16" t="s">
        <v>5956</v>
      </c>
      <c r="K1288" s="16" t="s">
        <v>5957</v>
      </c>
      <c r="L1288" s="16" t="s">
        <v>15</v>
      </c>
      <c r="M1288" s="16" t="s">
        <v>5958</v>
      </c>
      <c r="N1288" s="16"/>
      <c r="O1288" s="16"/>
    </row>
    <row r="1289" spans="1:15" x14ac:dyDescent="0.3">
      <c r="A1289" s="16">
        <v>1288</v>
      </c>
      <c r="B1289" s="16" t="s">
        <v>1641</v>
      </c>
      <c r="C1289" s="16" t="str">
        <f>"V6342977318112"</f>
        <v>V6342977318112</v>
      </c>
      <c r="D1289" s="16" t="s">
        <v>5959</v>
      </c>
      <c r="E1289" s="16" t="s">
        <v>5890</v>
      </c>
      <c r="F1289" s="21">
        <v>9781265515478</v>
      </c>
      <c r="G1289" s="16" t="s">
        <v>5891</v>
      </c>
      <c r="H1289" s="16" t="s">
        <v>13</v>
      </c>
      <c r="I1289" s="16">
        <v>2024</v>
      </c>
      <c r="J1289" s="16" t="s">
        <v>5960</v>
      </c>
      <c r="K1289" s="16" t="s">
        <v>339</v>
      </c>
      <c r="L1289" s="16" t="s">
        <v>15</v>
      </c>
      <c r="M1289" s="16" t="s">
        <v>5961</v>
      </c>
      <c r="N1289" s="16"/>
      <c r="O1289" s="16"/>
    </row>
    <row r="1290" spans="1:15" x14ac:dyDescent="0.3">
      <c r="A1290" s="16">
        <v>1289</v>
      </c>
      <c r="B1290" s="16" t="s">
        <v>1641</v>
      </c>
      <c r="C1290" s="16" t="str">
        <f>"V6342977424112"</f>
        <v>V6342977424112</v>
      </c>
      <c r="D1290" s="16" t="s">
        <v>5962</v>
      </c>
      <c r="E1290" s="16" t="s">
        <v>5890</v>
      </c>
      <c r="F1290" s="21">
        <v>9781265515478</v>
      </c>
      <c r="G1290" s="16" t="s">
        <v>5891</v>
      </c>
      <c r="H1290" s="16" t="s">
        <v>13</v>
      </c>
      <c r="I1290" s="16">
        <v>2024</v>
      </c>
      <c r="J1290" s="16" t="s">
        <v>5963</v>
      </c>
      <c r="K1290" s="16" t="s">
        <v>5908</v>
      </c>
      <c r="L1290" s="16" t="s">
        <v>15</v>
      </c>
      <c r="M1290" s="16" t="s">
        <v>5964</v>
      </c>
      <c r="N1290" s="16"/>
      <c r="O1290" s="16"/>
    </row>
    <row r="1291" spans="1:15" x14ac:dyDescent="0.3">
      <c r="A1291" s="16">
        <v>1290</v>
      </c>
      <c r="B1291" s="16" t="s">
        <v>1641</v>
      </c>
      <c r="C1291" s="16" t="str">
        <f>"V6342977138112"</f>
        <v>V6342977138112</v>
      </c>
      <c r="D1291" s="16" t="s">
        <v>5965</v>
      </c>
      <c r="E1291" s="16" t="s">
        <v>5890</v>
      </c>
      <c r="F1291" s="21">
        <v>9781265515478</v>
      </c>
      <c r="G1291" s="16" t="s">
        <v>5891</v>
      </c>
      <c r="H1291" s="16" t="s">
        <v>13</v>
      </c>
      <c r="I1291" s="16">
        <v>2024</v>
      </c>
      <c r="J1291" s="16" t="s">
        <v>5966</v>
      </c>
      <c r="K1291" s="16" t="s">
        <v>1707</v>
      </c>
      <c r="L1291" s="16" t="s">
        <v>15</v>
      </c>
      <c r="M1291" s="16" t="s">
        <v>5967</v>
      </c>
      <c r="N1291" s="16"/>
      <c r="O1291" s="16"/>
    </row>
    <row r="1292" spans="1:15" x14ac:dyDescent="0.3">
      <c r="A1292" s="16">
        <v>1291</v>
      </c>
      <c r="B1292" s="16" t="s">
        <v>1641</v>
      </c>
      <c r="C1292" s="16" t="str">
        <f>"V6342978190112"</f>
        <v>V6342978190112</v>
      </c>
      <c r="D1292" s="16" t="s">
        <v>5968</v>
      </c>
      <c r="E1292" s="16" t="s">
        <v>5890</v>
      </c>
      <c r="F1292" s="21">
        <v>9781265515478</v>
      </c>
      <c r="G1292" s="16" t="s">
        <v>5891</v>
      </c>
      <c r="H1292" s="16" t="s">
        <v>13</v>
      </c>
      <c r="I1292" s="16">
        <v>2024</v>
      </c>
      <c r="J1292" s="16" t="s">
        <v>5969</v>
      </c>
      <c r="K1292" s="16" t="s">
        <v>339</v>
      </c>
      <c r="L1292" s="16" t="s">
        <v>15</v>
      </c>
      <c r="M1292" s="16" t="s">
        <v>5970</v>
      </c>
      <c r="N1292" s="16"/>
      <c r="O1292" s="16"/>
    </row>
    <row r="1293" spans="1:15" x14ac:dyDescent="0.3">
      <c r="A1293" s="16">
        <v>1292</v>
      </c>
      <c r="B1293" s="16" t="s">
        <v>1641</v>
      </c>
      <c r="C1293" s="16" t="str">
        <f>"V6342977520112"</f>
        <v>V6342977520112</v>
      </c>
      <c r="D1293" s="16" t="s">
        <v>5971</v>
      </c>
      <c r="E1293" s="16" t="s">
        <v>5890</v>
      </c>
      <c r="F1293" s="21">
        <v>9781265515478</v>
      </c>
      <c r="G1293" s="16" t="s">
        <v>5891</v>
      </c>
      <c r="H1293" s="16" t="s">
        <v>13</v>
      </c>
      <c r="I1293" s="16">
        <v>2024</v>
      </c>
      <c r="J1293" s="16" t="s">
        <v>5972</v>
      </c>
      <c r="K1293" s="16" t="s">
        <v>5908</v>
      </c>
      <c r="L1293" s="16" t="s">
        <v>15</v>
      </c>
      <c r="M1293" s="16" t="s">
        <v>5973</v>
      </c>
      <c r="N1293" s="16"/>
      <c r="O1293" s="16"/>
    </row>
    <row r="1294" spans="1:15" x14ac:dyDescent="0.3">
      <c r="A1294" s="16">
        <v>1293</v>
      </c>
      <c r="B1294" s="16" t="s">
        <v>1641</v>
      </c>
      <c r="C1294" s="16" t="str">
        <f>"V6342975929112"</f>
        <v>V6342975929112</v>
      </c>
      <c r="D1294" s="16" t="s">
        <v>5974</v>
      </c>
      <c r="E1294" s="16" t="s">
        <v>5890</v>
      </c>
      <c r="F1294" s="21">
        <v>9781265515478</v>
      </c>
      <c r="G1294" s="16" t="s">
        <v>5891</v>
      </c>
      <c r="H1294" s="16" t="s">
        <v>13</v>
      </c>
      <c r="I1294" s="16">
        <v>2024</v>
      </c>
      <c r="J1294" s="16" t="s">
        <v>5975</v>
      </c>
      <c r="K1294" s="16" t="s">
        <v>339</v>
      </c>
      <c r="L1294" s="16" t="s">
        <v>15</v>
      </c>
      <c r="M1294" s="16" t="s">
        <v>5976</v>
      </c>
      <c r="N1294" s="16"/>
      <c r="O1294" s="16"/>
    </row>
    <row r="1295" spans="1:15" x14ac:dyDescent="0.3">
      <c r="A1295" s="16">
        <v>1294</v>
      </c>
      <c r="B1295" s="16" t="s">
        <v>1641</v>
      </c>
      <c r="C1295" s="16" t="str">
        <f>"V6342978574112"</f>
        <v>V6342978574112</v>
      </c>
      <c r="D1295" s="16" t="s">
        <v>5977</v>
      </c>
      <c r="E1295" s="16" t="s">
        <v>5890</v>
      </c>
      <c r="F1295" s="21">
        <v>9781265515478</v>
      </c>
      <c r="G1295" s="16" t="s">
        <v>5891</v>
      </c>
      <c r="H1295" s="16" t="s">
        <v>13</v>
      </c>
      <c r="I1295" s="16">
        <v>2024</v>
      </c>
      <c r="J1295" s="16" t="s">
        <v>5978</v>
      </c>
      <c r="K1295" s="16" t="s">
        <v>339</v>
      </c>
      <c r="L1295" s="16" t="s">
        <v>15</v>
      </c>
      <c r="M1295" s="16" t="s">
        <v>5979</v>
      </c>
      <c r="N1295" s="16"/>
      <c r="O1295" s="16"/>
    </row>
    <row r="1296" spans="1:15" x14ac:dyDescent="0.3">
      <c r="A1296" s="16">
        <v>1295</v>
      </c>
      <c r="B1296" s="16" t="s">
        <v>1641</v>
      </c>
      <c r="C1296" s="16" t="str">
        <f>"V6342977135112"</f>
        <v>V6342977135112</v>
      </c>
      <c r="D1296" s="16" t="s">
        <v>5980</v>
      </c>
      <c r="E1296" s="16" t="s">
        <v>5890</v>
      </c>
      <c r="F1296" s="21">
        <v>9781265515478</v>
      </c>
      <c r="G1296" s="16" t="s">
        <v>5891</v>
      </c>
      <c r="H1296" s="16" t="s">
        <v>13</v>
      </c>
      <c r="I1296" s="16">
        <v>2024</v>
      </c>
      <c r="J1296" s="16" t="s">
        <v>5981</v>
      </c>
      <c r="K1296" s="16" t="s">
        <v>339</v>
      </c>
      <c r="L1296" s="16" t="s">
        <v>15</v>
      </c>
      <c r="M1296" s="16" t="s">
        <v>5982</v>
      </c>
      <c r="N1296" s="16"/>
      <c r="O1296" s="16"/>
    </row>
    <row r="1297" spans="1:15" x14ac:dyDescent="0.3">
      <c r="A1297" s="16">
        <v>1296</v>
      </c>
      <c r="B1297" s="16" t="s">
        <v>1641</v>
      </c>
      <c r="C1297" s="16" t="str">
        <f>"V6342977521112"</f>
        <v>V6342977521112</v>
      </c>
      <c r="D1297" s="16" t="s">
        <v>5983</v>
      </c>
      <c r="E1297" s="16" t="s">
        <v>5890</v>
      </c>
      <c r="F1297" s="21">
        <v>9781265515478</v>
      </c>
      <c r="G1297" s="16" t="s">
        <v>5891</v>
      </c>
      <c r="H1297" s="16" t="s">
        <v>13</v>
      </c>
      <c r="I1297" s="16">
        <v>2024</v>
      </c>
      <c r="J1297" s="16" t="s">
        <v>5984</v>
      </c>
      <c r="K1297" s="16" t="s">
        <v>5985</v>
      </c>
      <c r="L1297" s="16" t="s">
        <v>15</v>
      </c>
      <c r="M1297" s="16" t="s">
        <v>5986</v>
      </c>
      <c r="N1297" s="16"/>
      <c r="O1297" s="16"/>
    </row>
    <row r="1298" spans="1:15" x14ac:dyDescent="0.3">
      <c r="A1298" s="16">
        <v>1297</v>
      </c>
      <c r="B1298" s="16" t="s">
        <v>1641</v>
      </c>
      <c r="C1298" s="16" t="str">
        <f>"V6342978476112"</f>
        <v>V6342978476112</v>
      </c>
      <c r="D1298" s="16" t="s">
        <v>5987</v>
      </c>
      <c r="E1298" s="16" t="s">
        <v>5954</v>
      </c>
      <c r="F1298" s="21">
        <v>9781265515478</v>
      </c>
      <c r="G1298" s="16" t="s">
        <v>5955</v>
      </c>
      <c r="H1298" s="16" t="s">
        <v>4152</v>
      </c>
      <c r="I1298" s="16">
        <v>2024</v>
      </c>
      <c r="J1298" s="16" t="s">
        <v>5988</v>
      </c>
      <c r="K1298" s="16" t="s">
        <v>5989</v>
      </c>
      <c r="L1298" s="16" t="s">
        <v>15</v>
      </c>
      <c r="M1298" s="16" t="s">
        <v>5990</v>
      </c>
      <c r="N1298" s="16"/>
      <c r="O1298" s="16"/>
    </row>
    <row r="1299" spans="1:15" x14ac:dyDescent="0.3">
      <c r="A1299" s="16">
        <v>1298</v>
      </c>
      <c r="B1299" s="16" t="s">
        <v>1641</v>
      </c>
      <c r="C1299" s="16" t="str">
        <f>"V6342978077112"</f>
        <v>V6342978077112</v>
      </c>
      <c r="D1299" s="16" t="s">
        <v>5991</v>
      </c>
      <c r="E1299" s="16" t="s">
        <v>5890</v>
      </c>
      <c r="F1299" s="21">
        <v>9781265515478</v>
      </c>
      <c r="G1299" s="16" t="s">
        <v>5891</v>
      </c>
      <c r="H1299" s="16" t="s">
        <v>13</v>
      </c>
      <c r="I1299" s="16">
        <v>2024</v>
      </c>
      <c r="J1299" s="16" t="s">
        <v>5992</v>
      </c>
      <c r="K1299" s="16" t="s">
        <v>339</v>
      </c>
      <c r="L1299" s="16" t="s">
        <v>15</v>
      </c>
      <c r="M1299" s="16" t="s">
        <v>5993</v>
      </c>
      <c r="N1299" s="16"/>
      <c r="O1299" s="16"/>
    </row>
    <row r="1300" spans="1:15" x14ac:dyDescent="0.3">
      <c r="A1300" s="16">
        <v>1299</v>
      </c>
      <c r="B1300" s="16" t="s">
        <v>1641</v>
      </c>
      <c r="C1300" s="16" t="str">
        <f>"V6342977137112"</f>
        <v>V6342977137112</v>
      </c>
      <c r="D1300" s="16" t="s">
        <v>5994</v>
      </c>
      <c r="E1300" s="16" t="s">
        <v>5890</v>
      </c>
      <c r="F1300" s="21">
        <v>9781265515478</v>
      </c>
      <c r="G1300" s="16" t="s">
        <v>5891</v>
      </c>
      <c r="H1300" s="16" t="s">
        <v>13</v>
      </c>
      <c r="I1300" s="16">
        <v>2024</v>
      </c>
      <c r="J1300" s="16" t="s">
        <v>5995</v>
      </c>
      <c r="K1300" s="16" t="s">
        <v>339</v>
      </c>
      <c r="L1300" s="16" t="s">
        <v>15</v>
      </c>
      <c r="M1300" s="16" t="s">
        <v>5996</v>
      </c>
      <c r="N1300" s="16"/>
      <c r="O1300" s="16"/>
    </row>
    <row r="1301" spans="1:15" x14ac:dyDescent="0.3">
      <c r="A1301" s="16">
        <v>1300</v>
      </c>
      <c r="B1301" s="16" t="s">
        <v>1641</v>
      </c>
      <c r="C1301" s="16" t="str">
        <f>"V6342976522112"</f>
        <v>V6342976522112</v>
      </c>
      <c r="D1301" s="16" t="s">
        <v>5997</v>
      </c>
      <c r="E1301" s="16" t="s">
        <v>5890</v>
      </c>
      <c r="F1301" s="21">
        <v>9781265515478</v>
      </c>
      <c r="G1301" s="16" t="s">
        <v>5891</v>
      </c>
      <c r="H1301" s="16" t="s">
        <v>13</v>
      </c>
      <c r="I1301" s="16">
        <v>2024</v>
      </c>
      <c r="J1301" s="16" t="s">
        <v>5998</v>
      </c>
      <c r="K1301" s="16" t="s">
        <v>339</v>
      </c>
      <c r="L1301" s="16" t="s">
        <v>15</v>
      </c>
      <c r="M1301" s="16" t="s">
        <v>5999</v>
      </c>
      <c r="N1301" s="16"/>
      <c r="O1301" s="16"/>
    </row>
    <row r="1302" spans="1:15" x14ac:dyDescent="0.3">
      <c r="A1302" s="16">
        <v>1301</v>
      </c>
      <c r="B1302" s="16" t="s">
        <v>1641</v>
      </c>
      <c r="C1302" s="16" t="str">
        <f>"V6342976234112"</f>
        <v>V6342976234112</v>
      </c>
      <c r="D1302" s="16" t="s">
        <v>6000</v>
      </c>
      <c r="E1302" s="16" t="s">
        <v>5890</v>
      </c>
      <c r="F1302" s="21">
        <v>9781265515478</v>
      </c>
      <c r="G1302" s="16" t="s">
        <v>5891</v>
      </c>
      <c r="H1302" s="16" t="s">
        <v>13</v>
      </c>
      <c r="I1302" s="16">
        <v>2024</v>
      </c>
      <c r="J1302" s="16" t="s">
        <v>6001</v>
      </c>
      <c r="K1302" s="16" t="s">
        <v>339</v>
      </c>
      <c r="L1302" s="16" t="s">
        <v>15</v>
      </c>
      <c r="M1302" s="16" t="s">
        <v>6002</v>
      </c>
      <c r="N1302" s="16"/>
      <c r="O1302" s="16"/>
    </row>
    <row r="1303" spans="1:15" x14ac:dyDescent="0.3">
      <c r="A1303" s="16">
        <v>1302</v>
      </c>
      <c r="B1303" s="16" t="s">
        <v>1641</v>
      </c>
      <c r="C1303" s="16" t="str">
        <f>"V6342976233112"</f>
        <v>V6342976233112</v>
      </c>
      <c r="D1303" s="16" t="s">
        <v>6003</v>
      </c>
      <c r="E1303" s="16" t="s">
        <v>5890</v>
      </c>
      <c r="F1303" s="21">
        <v>9781265515478</v>
      </c>
      <c r="G1303" s="16" t="s">
        <v>5891</v>
      </c>
      <c r="H1303" s="16" t="s">
        <v>13</v>
      </c>
      <c r="I1303" s="16">
        <v>2024</v>
      </c>
      <c r="J1303" s="16" t="s">
        <v>6001</v>
      </c>
      <c r="K1303" s="16" t="s">
        <v>339</v>
      </c>
      <c r="L1303" s="16" t="s">
        <v>15</v>
      </c>
      <c r="M1303" s="16" t="s">
        <v>6004</v>
      </c>
      <c r="N1303" s="16"/>
      <c r="O1303" s="16"/>
    </row>
    <row r="1304" spans="1:15" x14ac:dyDescent="0.3">
      <c r="A1304" s="16">
        <v>1303</v>
      </c>
      <c r="B1304" s="16" t="s">
        <v>1641</v>
      </c>
      <c r="C1304" s="16" t="str">
        <f>"V6342976143112"</f>
        <v>V6342976143112</v>
      </c>
      <c r="D1304" s="16" t="s">
        <v>6005</v>
      </c>
      <c r="E1304" s="16" t="s">
        <v>5890</v>
      </c>
      <c r="F1304" s="21">
        <v>9781265515478</v>
      </c>
      <c r="G1304" s="16" t="s">
        <v>5891</v>
      </c>
      <c r="H1304" s="16" t="s">
        <v>13</v>
      </c>
      <c r="I1304" s="16">
        <v>2024</v>
      </c>
      <c r="J1304" s="16" t="s">
        <v>6006</v>
      </c>
      <c r="K1304" s="16" t="s">
        <v>1707</v>
      </c>
      <c r="L1304" s="16" t="s">
        <v>15</v>
      </c>
      <c r="M1304" s="16" t="s">
        <v>6007</v>
      </c>
      <c r="N1304" s="16"/>
      <c r="O1304" s="16"/>
    </row>
    <row r="1305" spans="1:15" x14ac:dyDescent="0.3">
      <c r="A1305" s="16">
        <v>1304</v>
      </c>
      <c r="B1305" s="16" t="s">
        <v>1641</v>
      </c>
      <c r="C1305" s="16" t="str">
        <f>"V6342976946112"</f>
        <v>V6342976946112</v>
      </c>
      <c r="D1305" s="16" t="s">
        <v>6008</v>
      </c>
      <c r="E1305" s="16" t="s">
        <v>5890</v>
      </c>
      <c r="F1305" s="21">
        <v>9781265515478</v>
      </c>
      <c r="G1305" s="16" t="s">
        <v>5891</v>
      </c>
      <c r="H1305" s="16" t="s">
        <v>13</v>
      </c>
      <c r="I1305" s="16">
        <v>2024</v>
      </c>
      <c r="J1305" s="16" t="s">
        <v>6009</v>
      </c>
      <c r="K1305" s="16" t="s">
        <v>339</v>
      </c>
      <c r="L1305" s="16" t="s">
        <v>15</v>
      </c>
      <c r="M1305" s="16" t="s">
        <v>6010</v>
      </c>
      <c r="N1305" s="16"/>
      <c r="O1305" s="16"/>
    </row>
    <row r="1306" spans="1:15" x14ac:dyDescent="0.3">
      <c r="A1306" s="16">
        <v>1305</v>
      </c>
      <c r="B1306" s="16" t="s">
        <v>1641</v>
      </c>
      <c r="C1306" s="16" t="str">
        <f>"V6342976138112"</f>
        <v>V6342976138112</v>
      </c>
      <c r="D1306" s="16" t="s">
        <v>6011</v>
      </c>
      <c r="E1306" s="16" t="s">
        <v>5890</v>
      </c>
      <c r="F1306" s="21">
        <v>9781265515478</v>
      </c>
      <c r="G1306" s="16" t="s">
        <v>5891</v>
      </c>
      <c r="H1306" s="16" t="s">
        <v>13</v>
      </c>
      <c r="I1306" s="16">
        <v>2024</v>
      </c>
      <c r="J1306" s="16" t="s">
        <v>6012</v>
      </c>
      <c r="K1306" s="16" t="s">
        <v>339</v>
      </c>
      <c r="L1306" s="16" t="s">
        <v>15</v>
      </c>
      <c r="M1306" s="16" t="s">
        <v>6013</v>
      </c>
      <c r="N1306" s="16"/>
      <c r="O1306" s="16"/>
    </row>
    <row r="1307" spans="1:15" x14ac:dyDescent="0.3">
      <c r="A1307" s="16">
        <v>1306</v>
      </c>
      <c r="B1307" s="16" t="s">
        <v>1641</v>
      </c>
      <c r="C1307" s="16" t="str">
        <f>"V6342976823112"</f>
        <v>V6342976823112</v>
      </c>
      <c r="D1307" s="16" t="s">
        <v>6014</v>
      </c>
      <c r="E1307" s="16" t="s">
        <v>5890</v>
      </c>
      <c r="F1307" s="21">
        <v>9781265515478</v>
      </c>
      <c r="G1307" s="16" t="s">
        <v>5891</v>
      </c>
      <c r="H1307" s="16" t="s">
        <v>13</v>
      </c>
      <c r="I1307" s="16">
        <v>2024</v>
      </c>
      <c r="J1307" s="16" t="s">
        <v>6015</v>
      </c>
      <c r="K1307" s="16" t="s">
        <v>339</v>
      </c>
      <c r="L1307" s="16" t="s">
        <v>15</v>
      </c>
      <c r="M1307" s="16" t="s">
        <v>6016</v>
      </c>
      <c r="N1307" s="16"/>
      <c r="O1307" s="16"/>
    </row>
    <row r="1308" spans="1:15" x14ac:dyDescent="0.3">
      <c r="A1308" s="16">
        <v>1307</v>
      </c>
      <c r="B1308" s="16" t="s">
        <v>1641</v>
      </c>
      <c r="C1308" s="16" t="str">
        <f>"V6342978674112"</f>
        <v>V6342978674112</v>
      </c>
      <c r="D1308" s="16" t="s">
        <v>6017</v>
      </c>
      <c r="E1308" s="16" t="s">
        <v>5890</v>
      </c>
      <c r="F1308" s="21">
        <v>9781265515478</v>
      </c>
      <c r="G1308" s="16" t="s">
        <v>5891</v>
      </c>
      <c r="H1308" s="16" t="s">
        <v>13</v>
      </c>
      <c r="I1308" s="16">
        <v>2024</v>
      </c>
      <c r="J1308" s="16" t="s">
        <v>6018</v>
      </c>
      <c r="K1308" s="16" t="s">
        <v>339</v>
      </c>
      <c r="L1308" s="16" t="s">
        <v>15</v>
      </c>
      <c r="M1308" s="16" t="s">
        <v>6019</v>
      </c>
      <c r="N1308" s="16"/>
      <c r="O1308" s="16"/>
    </row>
    <row r="1309" spans="1:15" x14ac:dyDescent="0.3">
      <c r="A1309" s="16">
        <v>1308</v>
      </c>
      <c r="B1309" s="16" t="s">
        <v>1641</v>
      </c>
      <c r="C1309" s="16" t="str">
        <f>"V6342978676112"</f>
        <v>V6342978676112</v>
      </c>
      <c r="D1309" s="16" t="s">
        <v>6020</v>
      </c>
      <c r="E1309" s="16" t="s">
        <v>5890</v>
      </c>
      <c r="F1309" s="21">
        <v>9781265515478</v>
      </c>
      <c r="G1309" s="16" t="s">
        <v>5891</v>
      </c>
      <c r="H1309" s="16" t="s">
        <v>13</v>
      </c>
      <c r="I1309" s="16">
        <v>2024</v>
      </c>
      <c r="J1309" s="16" t="s">
        <v>6021</v>
      </c>
      <c r="K1309" s="16" t="s">
        <v>339</v>
      </c>
      <c r="L1309" s="16" t="s">
        <v>15</v>
      </c>
      <c r="M1309" s="16" t="s">
        <v>6022</v>
      </c>
      <c r="N1309" s="16"/>
      <c r="O1309" s="16"/>
    </row>
    <row r="1310" spans="1:15" x14ac:dyDescent="0.3">
      <c r="A1310" s="16">
        <v>1309</v>
      </c>
      <c r="B1310" s="16" t="s">
        <v>1641</v>
      </c>
      <c r="C1310" s="16" t="str">
        <f>"V6342976826112"</f>
        <v>V6342976826112</v>
      </c>
      <c r="D1310" s="16" t="s">
        <v>6023</v>
      </c>
      <c r="E1310" s="16" t="s">
        <v>5890</v>
      </c>
      <c r="F1310" s="21">
        <v>9781265515478</v>
      </c>
      <c r="G1310" s="16" t="s">
        <v>5891</v>
      </c>
      <c r="H1310" s="16" t="s">
        <v>13</v>
      </c>
      <c r="I1310" s="16">
        <v>2024</v>
      </c>
      <c r="J1310" s="16" t="s">
        <v>6024</v>
      </c>
      <c r="K1310" s="16" t="s">
        <v>339</v>
      </c>
      <c r="L1310" s="16" t="s">
        <v>15</v>
      </c>
      <c r="M1310" s="16" t="s">
        <v>6025</v>
      </c>
      <c r="N1310" s="16"/>
      <c r="O1310" s="16"/>
    </row>
    <row r="1311" spans="1:15" x14ac:dyDescent="0.3">
      <c r="A1311" s="16">
        <v>1310</v>
      </c>
      <c r="B1311" s="16" t="s">
        <v>1641</v>
      </c>
      <c r="C1311" s="16" t="str">
        <f>"V6342977021112"</f>
        <v>V6342977021112</v>
      </c>
      <c r="D1311" s="16" t="s">
        <v>6026</v>
      </c>
      <c r="E1311" s="16" t="s">
        <v>5890</v>
      </c>
      <c r="F1311" s="21">
        <v>9781265515478</v>
      </c>
      <c r="G1311" s="16" t="s">
        <v>5891</v>
      </c>
      <c r="H1311" s="16" t="s">
        <v>13</v>
      </c>
      <c r="I1311" s="16">
        <v>2024</v>
      </c>
      <c r="J1311" s="16" t="s">
        <v>5898</v>
      </c>
      <c r="K1311" s="16" t="s">
        <v>90</v>
      </c>
      <c r="L1311" s="16" t="s">
        <v>15</v>
      </c>
      <c r="M1311" s="16" t="s">
        <v>6027</v>
      </c>
      <c r="N1311" s="16"/>
      <c r="O1311" s="16"/>
    </row>
    <row r="1312" spans="1:15" x14ac:dyDescent="0.3">
      <c r="A1312" s="16">
        <v>1311</v>
      </c>
      <c r="B1312" s="16" t="s">
        <v>1641</v>
      </c>
      <c r="C1312" s="16" t="str">
        <f>"V6342976625112"</f>
        <v>V6342976625112</v>
      </c>
      <c r="D1312" s="16" t="s">
        <v>6028</v>
      </c>
      <c r="E1312" s="16" t="s">
        <v>5890</v>
      </c>
      <c r="F1312" s="21">
        <v>9781265515478</v>
      </c>
      <c r="G1312" s="16" t="s">
        <v>5891</v>
      </c>
      <c r="H1312" s="16" t="s">
        <v>13</v>
      </c>
      <c r="I1312" s="16">
        <v>2024</v>
      </c>
      <c r="J1312" s="16" t="s">
        <v>5981</v>
      </c>
      <c r="K1312" s="16" t="s">
        <v>339</v>
      </c>
      <c r="L1312" s="16" t="s">
        <v>15</v>
      </c>
      <c r="M1312" s="16" t="s">
        <v>6029</v>
      </c>
      <c r="N1312" s="16"/>
      <c r="O1312" s="16"/>
    </row>
    <row r="1313" spans="1:15" x14ac:dyDescent="0.3">
      <c r="A1313" s="16">
        <v>1312</v>
      </c>
      <c r="B1313" s="16" t="s">
        <v>1641</v>
      </c>
      <c r="C1313" s="16" t="str">
        <f>"V6342977136112"</f>
        <v>V6342977136112</v>
      </c>
      <c r="D1313" s="16" t="s">
        <v>6030</v>
      </c>
      <c r="E1313" s="16" t="s">
        <v>5890</v>
      </c>
      <c r="F1313" s="21">
        <v>9781265515478</v>
      </c>
      <c r="G1313" s="16" t="s">
        <v>5891</v>
      </c>
      <c r="H1313" s="16" t="s">
        <v>13</v>
      </c>
      <c r="I1313" s="16">
        <v>2024</v>
      </c>
      <c r="J1313" s="16" t="s">
        <v>6031</v>
      </c>
      <c r="K1313" s="16" t="s">
        <v>339</v>
      </c>
      <c r="L1313" s="16" t="s">
        <v>15</v>
      </c>
      <c r="M1313" s="16" t="s">
        <v>6032</v>
      </c>
      <c r="N1313" s="16"/>
      <c r="O1313" s="16"/>
    </row>
    <row r="1314" spans="1:15" x14ac:dyDescent="0.3">
      <c r="A1314" s="16">
        <v>1313</v>
      </c>
      <c r="B1314" s="16" t="s">
        <v>1641</v>
      </c>
      <c r="C1314" s="16" t="str">
        <f>"V6342976943112"</f>
        <v>V6342976943112</v>
      </c>
      <c r="D1314" s="16" t="s">
        <v>6033</v>
      </c>
      <c r="E1314" s="16" t="s">
        <v>5890</v>
      </c>
      <c r="F1314" s="21">
        <v>9781265515478</v>
      </c>
      <c r="G1314" s="16" t="s">
        <v>5891</v>
      </c>
      <c r="H1314" s="16" t="s">
        <v>13</v>
      </c>
      <c r="I1314" s="16">
        <v>2024</v>
      </c>
      <c r="J1314" s="16" t="s">
        <v>6034</v>
      </c>
      <c r="K1314" s="16" t="s">
        <v>6035</v>
      </c>
      <c r="L1314" s="16" t="s">
        <v>15</v>
      </c>
      <c r="M1314" s="16" t="s">
        <v>6036</v>
      </c>
      <c r="N1314" s="16"/>
      <c r="O1314" s="16"/>
    </row>
    <row r="1315" spans="1:15" x14ac:dyDescent="0.3">
      <c r="A1315" s="16">
        <v>1314</v>
      </c>
      <c r="B1315" s="16" t="s">
        <v>1641</v>
      </c>
      <c r="C1315" s="16" t="str">
        <f>"V6342976825112"</f>
        <v>V6342976825112</v>
      </c>
      <c r="D1315" s="16" t="s">
        <v>6037</v>
      </c>
      <c r="E1315" s="16" t="s">
        <v>5890</v>
      </c>
      <c r="F1315" s="21">
        <v>9781265515478</v>
      </c>
      <c r="G1315" s="16" t="s">
        <v>5891</v>
      </c>
      <c r="H1315" s="16" t="s">
        <v>13</v>
      </c>
      <c r="I1315" s="16">
        <v>2024</v>
      </c>
      <c r="J1315" s="16" t="s">
        <v>6038</v>
      </c>
      <c r="K1315" s="16" t="s">
        <v>90</v>
      </c>
      <c r="L1315" s="16" t="s">
        <v>15</v>
      </c>
      <c r="M1315" s="16" t="s">
        <v>6039</v>
      </c>
      <c r="N1315" s="16"/>
      <c r="O1315" s="16"/>
    </row>
    <row r="1316" spans="1:15" x14ac:dyDescent="0.3">
      <c r="A1316" s="16">
        <v>1315</v>
      </c>
      <c r="B1316" s="16" t="s">
        <v>1641</v>
      </c>
      <c r="C1316" s="16" t="str">
        <f>"V6342978672112"</f>
        <v>V6342978672112</v>
      </c>
      <c r="D1316" s="16" t="s">
        <v>6040</v>
      </c>
      <c r="E1316" s="16" t="s">
        <v>5890</v>
      </c>
      <c r="F1316" s="21">
        <v>9781265515478</v>
      </c>
      <c r="G1316" s="16" t="s">
        <v>5891</v>
      </c>
      <c r="H1316" s="16" t="s">
        <v>13</v>
      </c>
      <c r="I1316" s="16">
        <v>2024</v>
      </c>
      <c r="J1316" s="16" t="s">
        <v>5937</v>
      </c>
      <c r="K1316" s="16" t="s">
        <v>339</v>
      </c>
      <c r="L1316" s="16" t="s">
        <v>15</v>
      </c>
      <c r="M1316" s="16" t="s">
        <v>6041</v>
      </c>
      <c r="N1316" s="16"/>
      <c r="O1316" s="16"/>
    </row>
    <row r="1317" spans="1:15" x14ac:dyDescent="0.3">
      <c r="A1317" s="16">
        <v>1316</v>
      </c>
      <c r="B1317" s="16" t="s">
        <v>1641</v>
      </c>
      <c r="C1317" s="16" t="str">
        <f>"V6342977022112"</f>
        <v>V6342977022112</v>
      </c>
      <c r="D1317" s="16" t="s">
        <v>6042</v>
      </c>
      <c r="E1317" s="16" t="s">
        <v>5890</v>
      </c>
      <c r="F1317" s="21">
        <v>9781265515478</v>
      </c>
      <c r="G1317" s="16" t="s">
        <v>5891</v>
      </c>
      <c r="H1317" s="16" t="s">
        <v>13</v>
      </c>
      <c r="I1317" s="16">
        <v>2024</v>
      </c>
      <c r="J1317" s="16" t="s">
        <v>6043</v>
      </c>
      <c r="K1317" s="16" t="s">
        <v>339</v>
      </c>
      <c r="L1317" s="16" t="s">
        <v>15</v>
      </c>
      <c r="M1317" s="16" t="s">
        <v>6044</v>
      </c>
      <c r="N1317" s="16"/>
      <c r="O1317" s="16"/>
    </row>
    <row r="1318" spans="1:15" x14ac:dyDescent="0.3">
      <c r="A1318" s="16">
        <v>1317</v>
      </c>
      <c r="B1318" s="16" t="s">
        <v>1641</v>
      </c>
      <c r="C1318" s="16" t="str">
        <f>"V6342976824112"</f>
        <v>V6342976824112</v>
      </c>
      <c r="D1318" s="16" t="s">
        <v>6045</v>
      </c>
      <c r="E1318" s="16" t="s">
        <v>5890</v>
      </c>
      <c r="F1318" s="21">
        <v>9781265515478</v>
      </c>
      <c r="G1318" s="16" t="s">
        <v>5891</v>
      </c>
      <c r="H1318" s="16" t="s">
        <v>13</v>
      </c>
      <c r="I1318" s="16">
        <v>2024</v>
      </c>
      <c r="J1318" s="16" t="s">
        <v>6046</v>
      </c>
      <c r="K1318" s="16" t="s">
        <v>5908</v>
      </c>
      <c r="L1318" s="16" t="s">
        <v>15</v>
      </c>
      <c r="M1318" s="16" t="s">
        <v>6047</v>
      </c>
      <c r="N1318" s="16"/>
      <c r="O1318" s="16"/>
    </row>
    <row r="1319" spans="1:15" x14ac:dyDescent="0.3">
      <c r="A1319" s="16">
        <v>1318</v>
      </c>
      <c r="B1319" s="16" t="s">
        <v>1641</v>
      </c>
      <c r="C1319" s="16" t="str">
        <f>"V6342976232112"</f>
        <v>V6342976232112</v>
      </c>
      <c r="D1319" s="16" t="s">
        <v>6048</v>
      </c>
      <c r="E1319" s="16" t="s">
        <v>5890</v>
      </c>
      <c r="F1319" s="21">
        <v>9781265515478</v>
      </c>
      <c r="G1319" s="16" t="s">
        <v>5891</v>
      </c>
      <c r="H1319" s="16" t="s">
        <v>13</v>
      </c>
      <c r="I1319" s="16">
        <v>2024</v>
      </c>
      <c r="J1319" s="16" t="s">
        <v>6049</v>
      </c>
      <c r="K1319" s="16" t="s">
        <v>339</v>
      </c>
      <c r="L1319" s="16" t="s">
        <v>15</v>
      </c>
      <c r="M1319" s="16" t="s">
        <v>6050</v>
      </c>
      <c r="N1319" s="16"/>
      <c r="O1319" s="16"/>
    </row>
    <row r="1320" spans="1:15" x14ac:dyDescent="0.3">
      <c r="A1320" s="16">
        <v>1319</v>
      </c>
      <c r="B1320" s="16" t="s">
        <v>1641</v>
      </c>
      <c r="C1320" s="16" t="str">
        <f>"V6342976142112"</f>
        <v>V6342976142112</v>
      </c>
      <c r="D1320" s="16" t="s">
        <v>6051</v>
      </c>
      <c r="E1320" s="16" t="s">
        <v>5890</v>
      </c>
      <c r="F1320" s="21">
        <v>9781265515478</v>
      </c>
      <c r="G1320" s="16" t="s">
        <v>5891</v>
      </c>
      <c r="H1320" s="16" t="s">
        <v>13</v>
      </c>
      <c r="I1320" s="16">
        <v>2024</v>
      </c>
      <c r="J1320" s="16" t="s">
        <v>6052</v>
      </c>
      <c r="K1320" s="16" t="s">
        <v>339</v>
      </c>
      <c r="L1320" s="16" t="s">
        <v>15</v>
      </c>
      <c r="M1320" s="16" t="s">
        <v>6053</v>
      </c>
      <c r="N1320" s="16"/>
      <c r="O1320" s="16"/>
    </row>
    <row r="1321" spans="1:15" x14ac:dyDescent="0.3">
      <c r="A1321" s="16">
        <v>1320</v>
      </c>
      <c r="B1321" s="16" t="s">
        <v>1641</v>
      </c>
      <c r="C1321" s="16" t="str">
        <f>"V6342975928112"</f>
        <v>V6342975928112</v>
      </c>
      <c r="D1321" s="16" t="s">
        <v>6054</v>
      </c>
      <c r="E1321" s="16" t="s">
        <v>5890</v>
      </c>
      <c r="F1321" s="21">
        <v>9781265515478</v>
      </c>
      <c r="G1321" s="16" t="s">
        <v>5891</v>
      </c>
      <c r="H1321" s="16" t="s">
        <v>13</v>
      </c>
      <c r="I1321" s="16">
        <v>2024</v>
      </c>
      <c r="J1321" s="16" t="s">
        <v>6055</v>
      </c>
      <c r="K1321" s="16" t="s">
        <v>339</v>
      </c>
      <c r="L1321" s="16" t="s">
        <v>15</v>
      </c>
      <c r="M1321" s="16" t="s">
        <v>6056</v>
      </c>
      <c r="N1321" s="16"/>
      <c r="O1321" s="16"/>
    </row>
    <row r="1322" spans="1:15" x14ac:dyDescent="0.3">
      <c r="A1322" s="16">
        <v>1321</v>
      </c>
      <c r="B1322" s="16" t="s">
        <v>1641</v>
      </c>
      <c r="C1322" s="16" t="str">
        <f>"V6342976235112"</f>
        <v>V6342976235112</v>
      </c>
      <c r="D1322" s="16" t="s">
        <v>6057</v>
      </c>
      <c r="E1322" s="16" t="s">
        <v>5890</v>
      </c>
      <c r="F1322" s="21">
        <v>9781265515478</v>
      </c>
      <c r="G1322" s="16" t="s">
        <v>5891</v>
      </c>
      <c r="H1322" s="16" t="s">
        <v>13</v>
      </c>
      <c r="I1322" s="16">
        <v>2024</v>
      </c>
      <c r="J1322" s="16" t="s">
        <v>6058</v>
      </c>
      <c r="K1322" s="16" t="s">
        <v>54</v>
      </c>
      <c r="L1322" s="16" t="s">
        <v>15</v>
      </c>
      <c r="M1322" s="16" t="s">
        <v>6059</v>
      </c>
      <c r="N1322" s="16"/>
      <c r="O1322" s="16"/>
    </row>
    <row r="1323" spans="1:15" x14ac:dyDescent="0.3">
      <c r="A1323" s="16">
        <v>1322</v>
      </c>
      <c r="B1323" s="16" t="s">
        <v>1641</v>
      </c>
      <c r="C1323" s="16" t="str">
        <f>"V6342976944112"</f>
        <v>V6342976944112</v>
      </c>
      <c r="D1323" s="16" t="s">
        <v>6060</v>
      </c>
      <c r="E1323" s="16" t="s">
        <v>5890</v>
      </c>
      <c r="F1323" s="21">
        <v>9781265515478</v>
      </c>
      <c r="G1323" s="16" t="s">
        <v>5891</v>
      </c>
      <c r="H1323" s="16" t="s">
        <v>13</v>
      </c>
      <c r="I1323" s="16">
        <v>2024</v>
      </c>
      <c r="J1323" s="16" t="s">
        <v>6061</v>
      </c>
      <c r="K1323" s="16" t="s">
        <v>90</v>
      </c>
      <c r="L1323" s="16" t="s">
        <v>15</v>
      </c>
      <c r="M1323" s="16" t="s">
        <v>6062</v>
      </c>
      <c r="N1323" s="16"/>
      <c r="O1323" s="16"/>
    </row>
    <row r="1324" spans="1:15" x14ac:dyDescent="0.3">
      <c r="A1324" s="16">
        <v>1323</v>
      </c>
      <c r="B1324" s="16" t="s">
        <v>1641</v>
      </c>
      <c r="C1324" s="16" t="str">
        <f>"V6342977899112"</f>
        <v>V6342977899112</v>
      </c>
      <c r="D1324" s="16" t="s">
        <v>6063</v>
      </c>
      <c r="E1324" s="16" t="s">
        <v>5890</v>
      </c>
      <c r="F1324" s="21">
        <v>9781265515478</v>
      </c>
      <c r="G1324" s="16" t="s">
        <v>5891</v>
      </c>
      <c r="H1324" s="16" t="s">
        <v>13</v>
      </c>
      <c r="I1324" s="16">
        <v>2024</v>
      </c>
      <c r="J1324" s="16" t="s">
        <v>6064</v>
      </c>
      <c r="K1324" s="16" t="s">
        <v>339</v>
      </c>
      <c r="L1324" s="16" t="s">
        <v>15</v>
      </c>
      <c r="M1324" s="16" t="s">
        <v>6065</v>
      </c>
      <c r="N1324" s="16"/>
      <c r="O1324" s="16"/>
    </row>
    <row r="1325" spans="1:15" x14ac:dyDescent="0.3">
      <c r="A1325" s="16">
        <v>1324</v>
      </c>
      <c r="B1325" s="16" t="s">
        <v>1641</v>
      </c>
      <c r="C1325" s="16" t="str">
        <f>"V6342975836112"</f>
        <v>V6342975836112</v>
      </c>
      <c r="D1325" s="16" t="s">
        <v>6066</v>
      </c>
      <c r="E1325" s="16" t="s">
        <v>5890</v>
      </c>
      <c r="F1325" s="21">
        <v>9781265515478</v>
      </c>
      <c r="G1325" s="16" t="s">
        <v>5891</v>
      </c>
      <c r="H1325" s="16" t="s">
        <v>13</v>
      </c>
      <c r="I1325" s="16">
        <v>2024</v>
      </c>
      <c r="J1325" s="16" t="s">
        <v>6067</v>
      </c>
      <c r="K1325" s="16" t="s">
        <v>6068</v>
      </c>
      <c r="L1325" s="16" t="s">
        <v>15</v>
      </c>
      <c r="M1325" s="16" t="s">
        <v>6069</v>
      </c>
      <c r="N1325" s="16"/>
      <c r="O1325" s="16"/>
    </row>
    <row r="1326" spans="1:15" x14ac:dyDescent="0.3">
      <c r="A1326" s="16">
        <v>1325</v>
      </c>
      <c r="B1326" s="16" t="s">
        <v>1641</v>
      </c>
      <c r="C1326" s="16" t="str">
        <f>"V6342978079112"</f>
        <v>V6342978079112</v>
      </c>
      <c r="D1326" s="16" t="s">
        <v>6070</v>
      </c>
      <c r="E1326" s="16" t="s">
        <v>5890</v>
      </c>
      <c r="F1326" s="21">
        <v>9781265515478</v>
      </c>
      <c r="G1326" s="16" t="s">
        <v>5891</v>
      </c>
      <c r="H1326" s="16" t="s">
        <v>13</v>
      </c>
      <c r="I1326" s="16">
        <v>2024</v>
      </c>
      <c r="J1326" s="16" t="s">
        <v>6071</v>
      </c>
      <c r="K1326" s="16" t="s">
        <v>339</v>
      </c>
      <c r="L1326" s="16" t="s">
        <v>15</v>
      </c>
      <c r="M1326" s="16" t="s">
        <v>6072</v>
      </c>
      <c r="N1326" s="16"/>
      <c r="O1326" s="16"/>
    </row>
    <row r="1327" spans="1:15" x14ac:dyDescent="0.3">
      <c r="A1327" s="16">
        <v>1326</v>
      </c>
      <c r="B1327" s="16" t="s">
        <v>1641</v>
      </c>
      <c r="C1327" s="16" t="str">
        <f>"V6342976140112"</f>
        <v>V6342976140112</v>
      </c>
      <c r="D1327" s="16" t="s">
        <v>6073</v>
      </c>
      <c r="E1327" s="16" t="s">
        <v>5890</v>
      </c>
      <c r="F1327" s="21">
        <v>9781265515478</v>
      </c>
      <c r="G1327" s="16" t="s">
        <v>5891</v>
      </c>
      <c r="H1327" s="16" t="s">
        <v>13</v>
      </c>
      <c r="I1327" s="16">
        <v>2024</v>
      </c>
      <c r="J1327" s="16" t="s">
        <v>6074</v>
      </c>
      <c r="K1327" s="16" t="s">
        <v>5908</v>
      </c>
      <c r="L1327" s="16" t="s">
        <v>15</v>
      </c>
      <c r="M1327" s="16" t="s">
        <v>6075</v>
      </c>
      <c r="N1327" s="16"/>
      <c r="O1327" s="16"/>
    </row>
    <row r="1328" spans="1:15" x14ac:dyDescent="0.3">
      <c r="A1328" s="16">
        <v>1327</v>
      </c>
      <c r="B1328" s="16" t="s">
        <v>1641</v>
      </c>
      <c r="C1328" s="16" t="str">
        <f>"V6342976419112"</f>
        <v>V6342976419112</v>
      </c>
      <c r="D1328" s="16" t="s">
        <v>6076</v>
      </c>
      <c r="E1328" s="16" t="s">
        <v>5890</v>
      </c>
      <c r="F1328" s="21">
        <v>9781265515478</v>
      </c>
      <c r="G1328" s="16" t="s">
        <v>5891</v>
      </c>
      <c r="H1328" s="16" t="s">
        <v>13</v>
      </c>
      <c r="I1328" s="16">
        <v>2024</v>
      </c>
      <c r="J1328" s="16" t="s">
        <v>6077</v>
      </c>
      <c r="K1328" s="16" t="s">
        <v>339</v>
      </c>
      <c r="L1328" s="16" t="s">
        <v>15</v>
      </c>
      <c r="M1328" s="16" t="s">
        <v>6078</v>
      </c>
      <c r="N1328" s="16"/>
      <c r="O1328" s="16"/>
    </row>
    <row r="1329" spans="1:15" x14ac:dyDescent="0.3">
      <c r="A1329" s="16">
        <v>1328</v>
      </c>
      <c r="B1329" s="16" t="s">
        <v>1641</v>
      </c>
      <c r="C1329" s="16" t="str">
        <f>"V6342978078112"</f>
        <v>V6342978078112</v>
      </c>
      <c r="D1329" s="16" t="s">
        <v>6079</v>
      </c>
      <c r="E1329" s="16" t="s">
        <v>5890</v>
      </c>
      <c r="F1329" s="21">
        <v>9781265515478</v>
      </c>
      <c r="G1329" s="16" t="s">
        <v>5891</v>
      </c>
      <c r="H1329" s="16" t="s">
        <v>13</v>
      </c>
      <c r="I1329" s="16">
        <v>2024</v>
      </c>
      <c r="J1329" s="16" t="s">
        <v>6080</v>
      </c>
      <c r="K1329" s="16" t="s">
        <v>339</v>
      </c>
      <c r="L1329" s="16" t="s">
        <v>15</v>
      </c>
      <c r="M1329" s="16" t="s">
        <v>6081</v>
      </c>
      <c r="N1329" s="16"/>
      <c r="O1329" s="16"/>
    </row>
    <row r="1330" spans="1:15" x14ac:dyDescent="0.3">
      <c r="A1330" s="16">
        <v>1329</v>
      </c>
      <c r="B1330" s="16" t="s">
        <v>1641</v>
      </c>
      <c r="C1330" s="16" t="str">
        <f>"V6342976521112"</f>
        <v>V6342976521112</v>
      </c>
      <c r="D1330" s="16" t="s">
        <v>6082</v>
      </c>
      <c r="E1330" s="16" t="s">
        <v>5890</v>
      </c>
      <c r="F1330" s="21">
        <v>9781265515478</v>
      </c>
      <c r="G1330" s="16" t="s">
        <v>5891</v>
      </c>
      <c r="H1330" s="16" t="s">
        <v>13</v>
      </c>
      <c r="I1330" s="16">
        <v>2024</v>
      </c>
      <c r="J1330" s="16" t="s">
        <v>6083</v>
      </c>
      <c r="K1330" s="16" t="s">
        <v>339</v>
      </c>
      <c r="L1330" s="16" t="s">
        <v>15</v>
      </c>
      <c r="M1330" s="16" t="s">
        <v>6084</v>
      </c>
      <c r="N1330" s="16"/>
      <c r="O1330" s="16"/>
    </row>
    <row r="1331" spans="1:15" x14ac:dyDescent="0.3">
      <c r="A1331" s="16">
        <v>1330</v>
      </c>
      <c r="B1331" s="16" t="s">
        <v>1641</v>
      </c>
      <c r="C1331" s="16" t="str">
        <f>"V6342977319112"</f>
        <v>V6342977319112</v>
      </c>
      <c r="D1331" s="16" t="s">
        <v>6085</v>
      </c>
      <c r="E1331" s="16" t="s">
        <v>5890</v>
      </c>
      <c r="F1331" s="21">
        <v>9781265515478</v>
      </c>
      <c r="G1331" s="16" t="s">
        <v>5891</v>
      </c>
      <c r="H1331" s="16" t="s">
        <v>13</v>
      </c>
      <c r="I1331" s="16">
        <v>2024</v>
      </c>
      <c r="J1331" s="16" t="s">
        <v>6086</v>
      </c>
      <c r="K1331" s="16" t="s">
        <v>339</v>
      </c>
      <c r="L1331" s="16" t="s">
        <v>15</v>
      </c>
      <c r="M1331" s="16" t="s">
        <v>6087</v>
      </c>
      <c r="N1331" s="16"/>
      <c r="O1331" s="16"/>
    </row>
    <row r="1332" spans="1:15" x14ac:dyDescent="0.3">
      <c r="A1332" s="16">
        <v>1331</v>
      </c>
      <c r="B1332" s="16" t="s">
        <v>1641</v>
      </c>
      <c r="C1332" s="16" t="str">
        <f>"V6342975835112"</f>
        <v>V6342975835112</v>
      </c>
      <c r="D1332" s="16" t="s">
        <v>6088</v>
      </c>
      <c r="E1332" s="16" t="s">
        <v>5890</v>
      </c>
      <c r="F1332" s="21">
        <v>9781265515478</v>
      </c>
      <c r="G1332" s="16" t="s">
        <v>5891</v>
      </c>
      <c r="H1332" s="16" t="s">
        <v>13</v>
      </c>
      <c r="I1332" s="16">
        <v>2024</v>
      </c>
      <c r="J1332" s="16" t="s">
        <v>6089</v>
      </c>
      <c r="K1332" s="16" t="s">
        <v>1707</v>
      </c>
      <c r="L1332" s="16" t="s">
        <v>15</v>
      </c>
      <c r="M1332" s="16" t="s">
        <v>6090</v>
      </c>
      <c r="N1332" s="16"/>
      <c r="O1332" s="16"/>
    </row>
    <row r="1333" spans="1:15" x14ac:dyDescent="0.3">
      <c r="A1333" s="16">
        <v>1332</v>
      </c>
      <c r="B1333" s="16" t="s">
        <v>1641</v>
      </c>
      <c r="C1333" s="16" t="str">
        <f>"V6342976417112"</f>
        <v>V6342976417112</v>
      </c>
      <c r="D1333" s="16" t="s">
        <v>6091</v>
      </c>
      <c r="E1333" s="16" t="s">
        <v>5890</v>
      </c>
      <c r="F1333" s="21">
        <v>9781265515478</v>
      </c>
      <c r="G1333" s="16" t="s">
        <v>5891</v>
      </c>
      <c r="H1333" s="16" t="s">
        <v>13</v>
      </c>
      <c r="I1333" s="16">
        <v>2024</v>
      </c>
      <c r="J1333" s="16" t="s">
        <v>6092</v>
      </c>
      <c r="K1333" s="16" t="s">
        <v>339</v>
      </c>
      <c r="L1333" s="16" t="s">
        <v>15</v>
      </c>
      <c r="M1333" s="16" t="s">
        <v>6093</v>
      </c>
      <c r="N1333" s="16"/>
      <c r="O1333" s="16"/>
    </row>
    <row r="1334" spans="1:15" x14ac:dyDescent="0.3">
      <c r="A1334" s="16">
        <v>1333</v>
      </c>
      <c r="B1334" s="16" t="s">
        <v>1641</v>
      </c>
      <c r="C1334" s="16" t="str">
        <f>"V6342976624112"</f>
        <v>V6342976624112</v>
      </c>
      <c r="D1334" s="16" t="s">
        <v>6094</v>
      </c>
      <c r="E1334" s="16" t="s">
        <v>5890</v>
      </c>
      <c r="F1334" s="21">
        <v>9781265515478</v>
      </c>
      <c r="G1334" s="16" t="s">
        <v>5891</v>
      </c>
      <c r="H1334" s="16" t="s">
        <v>13</v>
      </c>
      <c r="I1334" s="16">
        <v>2024</v>
      </c>
      <c r="J1334" s="16" t="s">
        <v>6095</v>
      </c>
      <c r="K1334" s="16" t="s">
        <v>90</v>
      </c>
      <c r="L1334" s="16" t="s">
        <v>15</v>
      </c>
      <c r="M1334" s="16" t="s">
        <v>6096</v>
      </c>
      <c r="N1334" s="16"/>
      <c r="O1334" s="16"/>
    </row>
    <row r="1335" spans="1:15" x14ac:dyDescent="0.3">
      <c r="A1335" s="16">
        <v>1334</v>
      </c>
      <c r="B1335" s="16" t="s">
        <v>1641</v>
      </c>
      <c r="C1335" s="16" t="str">
        <f>"V6342976141112"</f>
        <v>V6342976141112</v>
      </c>
      <c r="D1335" s="16" t="s">
        <v>6097</v>
      </c>
      <c r="E1335" s="16" t="s">
        <v>5890</v>
      </c>
      <c r="F1335" s="21">
        <v>9781265515478</v>
      </c>
      <c r="G1335" s="16" t="s">
        <v>5891</v>
      </c>
      <c r="H1335" s="16" t="s">
        <v>13</v>
      </c>
      <c r="I1335" s="16">
        <v>2024</v>
      </c>
      <c r="J1335" s="16" t="s">
        <v>6043</v>
      </c>
      <c r="K1335" s="16" t="s">
        <v>339</v>
      </c>
      <c r="L1335" s="16" t="s">
        <v>15</v>
      </c>
      <c r="M1335" s="16" t="s">
        <v>6098</v>
      </c>
      <c r="N1335" s="16"/>
      <c r="O1335" s="16"/>
    </row>
    <row r="1336" spans="1:15" x14ac:dyDescent="0.3">
      <c r="A1336" s="16">
        <v>1335</v>
      </c>
      <c r="B1336" s="16" t="s">
        <v>1641</v>
      </c>
      <c r="C1336" s="16" t="str">
        <f>"YT9781265649159_81"</f>
        <v>YT9781265649159_81</v>
      </c>
      <c r="D1336" s="16" t="s">
        <v>6099</v>
      </c>
      <c r="E1336" s="16" t="s">
        <v>6100</v>
      </c>
      <c r="F1336" s="21">
        <v>9781265649159</v>
      </c>
      <c r="G1336" s="16" t="s">
        <v>796</v>
      </c>
      <c r="H1336" s="16" t="s">
        <v>13</v>
      </c>
      <c r="I1336" s="16">
        <v>2024</v>
      </c>
      <c r="J1336" s="16" t="s">
        <v>6101</v>
      </c>
      <c r="K1336" s="16" t="s">
        <v>64</v>
      </c>
      <c r="L1336" s="16" t="s">
        <v>15</v>
      </c>
      <c r="M1336" s="16" t="s">
        <v>6102</v>
      </c>
      <c r="N1336" s="16"/>
      <c r="O1336" s="16"/>
    </row>
    <row r="1337" spans="1:15" x14ac:dyDescent="0.3">
      <c r="A1337" s="16">
        <v>1336</v>
      </c>
      <c r="B1337" s="16" t="s">
        <v>1641</v>
      </c>
      <c r="C1337" s="16" t="str">
        <f>"YT9781265649159_82"</f>
        <v>YT9781265649159_82</v>
      </c>
      <c r="D1337" s="16" t="s">
        <v>6103</v>
      </c>
      <c r="E1337" s="16" t="s">
        <v>6100</v>
      </c>
      <c r="F1337" s="21">
        <v>9781265649159</v>
      </c>
      <c r="G1337" s="16" t="s">
        <v>796</v>
      </c>
      <c r="H1337" s="16" t="s">
        <v>13</v>
      </c>
      <c r="I1337" s="16">
        <v>2024</v>
      </c>
      <c r="J1337" s="16" t="s">
        <v>6104</v>
      </c>
      <c r="K1337" s="16" t="s">
        <v>64</v>
      </c>
      <c r="L1337" s="16" t="s">
        <v>15</v>
      </c>
      <c r="M1337" s="16" t="s">
        <v>6105</v>
      </c>
      <c r="N1337" s="16"/>
      <c r="O1337" s="16"/>
    </row>
    <row r="1338" spans="1:15" x14ac:dyDescent="0.3">
      <c r="A1338" s="16">
        <v>1337</v>
      </c>
      <c r="B1338" s="16" t="s">
        <v>1641</v>
      </c>
      <c r="C1338" s="16" t="str">
        <f>"YT9781265649159_29"</f>
        <v>YT9781265649159_29</v>
      </c>
      <c r="D1338" s="16" t="s">
        <v>6106</v>
      </c>
      <c r="E1338" s="16" t="s">
        <v>6100</v>
      </c>
      <c r="F1338" s="21">
        <v>9781265649159</v>
      </c>
      <c r="G1338" s="16" t="s">
        <v>796</v>
      </c>
      <c r="H1338" s="16" t="s">
        <v>13</v>
      </c>
      <c r="I1338" s="16">
        <v>2024</v>
      </c>
      <c r="J1338" s="16" t="s">
        <v>6107</v>
      </c>
      <c r="K1338" s="16" t="s">
        <v>6108</v>
      </c>
      <c r="L1338" s="16" t="s">
        <v>15</v>
      </c>
      <c r="M1338" s="16" t="s">
        <v>6109</v>
      </c>
      <c r="N1338" s="16"/>
      <c r="O1338" s="16"/>
    </row>
    <row r="1339" spans="1:15" x14ac:dyDescent="0.3">
      <c r="A1339" s="16">
        <v>1338</v>
      </c>
      <c r="B1339" s="16" t="s">
        <v>1641</v>
      </c>
      <c r="C1339" s="16" t="str">
        <f>"YT9781265649159_52"</f>
        <v>YT9781265649159_52</v>
      </c>
      <c r="D1339" s="16" t="s">
        <v>6110</v>
      </c>
      <c r="E1339" s="16" t="s">
        <v>6100</v>
      </c>
      <c r="F1339" s="21">
        <v>9781265649159</v>
      </c>
      <c r="G1339" s="16" t="s">
        <v>796</v>
      </c>
      <c r="H1339" s="16" t="s">
        <v>13</v>
      </c>
      <c r="I1339" s="16">
        <v>2024</v>
      </c>
      <c r="J1339" s="16" t="s">
        <v>6111</v>
      </c>
      <c r="K1339" s="16" t="s">
        <v>1954</v>
      </c>
      <c r="L1339" s="16" t="s">
        <v>15</v>
      </c>
      <c r="M1339" s="16" t="s">
        <v>6112</v>
      </c>
      <c r="N1339" s="16"/>
      <c r="O1339" s="16"/>
    </row>
    <row r="1340" spans="1:15" x14ac:dyDescent="0.3">
      <c r="A1340" s="16">
        <v>1339</v>
      </c>
      <c r="B1340" s="16" t="s">
        <v>1641</v>
      </c>
      <c r="C1340" s="16" t="str">
        <f>"YT9781265649159_24"</f>
        <v>YT9781265649159_24</v>
      </c>
      <c r="D1340" s="16" t="s">
        <v>6113</v>
      </c>
      <c r="E1340" s="16" t="s">
        <v>6100</v>
      </c>
      <c r="F1340" s="21">
        <v>9781265649159</v>
      </c>
      <c r="G1340" s="16" t="s">
        <v>796</v>
      </c>
      <c r="H1340" s="16" t="s">
        <v>13</v>
      </c>
      <c r="I1340" s="16">
        <v>2024</v>
      </c>
      <c r="J1340" s="16" t="s">
        <v>6114</v>
      </c>
      <c r="K1340" s="16" t="s">
        <v>1117</v>
      </c>
      <c r="L1340" s="16" t="s">
        <v>15</v>
      </c>
      <c r="M1340" s="16" t="s">
        <v>6115</v>
      </c>
      <c r="N1340" s="16"/>
      <c r="O1340" s="16"/>
    </row>
    <row r="1341" spans="1:15" x14ac:dyDescent="0.3">
      <c r="A1341" s="16">
        <v>1340</v>
      </c>
      <c r="B1341" s="16" t="s">
        <v>1641</v>
      </c>
      <c r="C1341" s="16" t="str">
        <f>"YT9781265649159_28"</f>
        <v>YT9781265649159_28</v>
      </c>
      <c r="D1341" s="16" t="s">
        <v>6116</v>
      </c>
      <c r="E1341" s="16" t="s">
        <v>6100</v>
      </c>
      <c r="F1341" s="21">
        <v>9781265649159</v>
      </c>
      <c r="G1341" s="16" t="s">
        <v>796</v>
      </c>
      <c r="H1341" s="16" t="s">
        <v>13</v>
      </c>
      <c r="I1341" s="16">
        <v>2024</v>
      </c>
      <c r="J1341" s="16" t="s">
        <v>6117</v>
      </c>
      <c r="K1341" s="16" t="s">
        <v>6118</v>
      </c>
      <c r="L1341" s="16" t="s">
        <v>15</v>
      </c>
      <c r="M1341" s="16" t="s">
        <v>6119</v>
      </c>
      <c r="N1341" s="16"/>
      <c r="O1341" s="16"/>
    </row>
    <row r="1342" spans="1:15" x14ac:dyDescent="0.3">
      <c r="A1342" s="16">
        <v>1341</v>
      </c>
      <c r="B1342" s="16" t="s">
        <v>1641</v>
      </c>
      <c r="C1342" s="16" t="str">
        <f>"V6362758396112"</f>
        <v>V6362758396112</v>
      </c>
      <c r="D1342" s="16" t="s">
        <v>6120</v>
      </c>
      <c r="E1342" s="16" t="s">
        <v>6121</v>
      </c>
      <c r="F1342" s="21">
        <v>9781264961702</v>
      </c>
      <c r="G1342" s="16" t="s">
        <v>5373</v>
      </c>
      <c r="H1342" s="16" t="s">
        <v>13</v>
      </c>
      <c r="I1342" s="16">
        <v>2024</v>
      </c>
      <c r="J1342" s="16" t="s">
        <v>6122</v>
      </c>
      <c r="K1342" s="16" t="s">
        <v>1117</v>
      </c>
      <c r="L1342" s="16" t="s">
        <v>15</v>
      </c>
      <c r="M1342" s="16" t="s">
        <v>6123</v>
      </c>
      <c r="N1342" s="16"/>
      <c r="O1342" s="16"/>
    </row>
    <row r="1343" spans="1:15" x14ac:dyDescent="0.3">
      <c r="A1343" s="16">
        <v>1342</v>
      </c>
      <c r="B1343" s="16" t="s">
        <v>1641</v>
      </c>
      <c r="C1343" s="16" t="str">
        <f>"V6362758685112"</f>
        <v>V6362758685112</v>
      </c>
      <c r="D1343" s="16" t="s">
        <v>6124</v>
      </c>
      <c r="E1343" s="16" t="s">
        <v>6121</v>
      </c>
      <c r="F1343" s="21">
        <v>9781264961702</v>
      </c>
      <c r="G1343" s="16" t="s">
        <v>5373</v>
      </c>
      <c r="H1343" s="16" t="s">
        <v>13</v>
      </c>
      <c r="I1343" s="16">
        <v>2024</v>
      </c>
      <c r="J1343" s="16" t="s">
        <v>6125</v>
      </c>
      <c r="K1343" s="16" t="s">
        <v>64</v>
      </c>
      <c r="L1343" s="16" t="s">
        <v>15</v>
      </c>
      <c r="M1343" s="16" t="s">
        <v>6126</v>
      </c>
      <c r="N1343" s="16"/>
      <c r="O1343" s="16"/>
    </row>
    <row r="1344" spans="1:15" x14ac:dyDescent="0.3">
      <c r="A1344" s="16">
        <v>1343</v>
      </c>
      <c r="B1344" s="16" t="s">
        <v>1641</v>
      </c>
      <c r="C1344" s="16" t="str">
        <f>"V6362758801112"</f>
        <v>V6362758801112</v>
      </c>
      <c r="D1344" s="16" t="s">
        <v>6127</v>
      </c>
      <c r="E1344" s="16" t="s">
        <v>6121</v>
      </c>
      <c r="F1344" s="21">
        <v>9781264961702</v>
      </c>
      <c r="G1344" s="16" t="s">
        <v>5373</v>
      </c>
      <c r="H1344" s="16" t="s">
        <v>13</v>
      </c>
      <c r="I1344" s="16">
        <v>2024</v>
      </c>
      <c r="J1344" s="16" t="s">
        <v>6128</v>
      </c>
      <c r="K1344" s="16" t="s">
        <v>1617</v>
      </c>
      <c r="L1344" s="16" t="s">
        <v>15</v>
      </c>
      <c r="M1344" s="16" t="s">
        <v>6129</v>
      </c>
      <c r="N1344" s="16"/>
      <c r="O1344" s="16"/>
    </row>
    <row r="1345" spans="1:15" x14ac:dyDescent="0.3">
      <c r="A1345" s="16">
        <v>1344</v>
      </c>
      <c r="B1345" s="16" t="s">
        <v>1641</v>
      </c>
      <c r="C1345" s="16" t="str">
        <f>"V6362758802112"</f>
        <v>V6362758802112</v>
      </c>
      <c r="D1345" s="16" t="s">
        <v>6130</v>
      </c>
      <c r="E1345" s="16" t="s">
        <v>6121</v>
      </c>
      <c r="F1345" s="21">
        <v>9781264961702</v>
      </c>
      <c r="G1345" s="16" t="s">
        <v>5373</v>
      </c>
      <c r="H1345" s="16" t="s">
        <v>13</v>
      </c>
      <c r="I1345" s="16">
        <v>2024</v>
      </c>
      <c r="J1345" s="16" t="s">
        <v>6131</v>
      </c>
      <c r="K1345" s="16" t="s">
        <v>64</v>
      </c>
      <c r="L1345" s="16" t="s">
        <v>15</v>
      </c>
      <c r="M1345" s="16" t="s">
        <v>6132</v>
      </c>
      <c r="N1345" s="16"/>
      <c r="O1345" s="16"/>
    </row>
    <row r="1346" spans="1:15" x14ac:dyDescent="0.3">
      <c r="A1346" s="16">
        <v>1345</v>
      </c>
      <c r="B1346" s="16" t="s">
        <v>1641</v>
      </c>
      <c r="C1346" s="16" t="str">
        <f>"V6362758993112"</f>
        <v>V6362758993112</v>
      </c>
      <c r="D1346" s="16" t="s">
        <v>6133</v>
      </c>
      <c r="E1346" s="16" t="s">
        <v>6121</v>
      </c>
      <c r="F1346" s="21">
        <v>9781264961702</v>
      </c>
      <c r="G1346" s="16" t="s">
        <v>5373</v>
      </c>
      <c r="H1346" s="16" t="s">
        <v>13</v>
      </c>
      <c r="I1346" s="16">
        <v>2024</v>
      </c>
      <c r="J1346" s="16" t="s">
        <v>6134</v>
      </c>
      <c r="K1346" s="16" t="s">
        <v>64</v>
      </c>
      <c r="L1346" s="16" t="s">
        <v>15</v>
      </c>
      <c r="M1346" s="16" t="s">
        <v>6135</v>
      </c>
      <c r="N1346" s="16"/>
      <c r="O1346" s="16"/>
    </row>
    <row r="1347" spans="1:15" x14ac:dyDescent="0.3">
      <c r="A1347" s="16">
        <v>1346</v>
      </c>
      <c r="B1347" s="16" t="s">
        <v>1641</v>
      </c>
      <c r="C1347" s="16" t="str">
        <f>"V6362759084112"</f>
        <v>V6362759084112</v>
      </c>
      <c r="D1347" s="16" t="s">
        <v>6136</v>
      </c>
      <c r="E1347" s="16" t="s">
        <v>6121</v>
      </c>
      <c r="F1347" s="21">
        <v>9781264961702</v>
      </c>
      <c r="G1347" s="16" t="s">
        <v>5373</v>
      </c>
      <c r="H1347" s="16" t="s">
        <v>13</v>
      </c>
      <c r="I1347" s="16">
        <v>2024</v>
      </c>
      <c r="J1347" s="16" t="s">
        <v>6137</v>
      </c>
      <c r="K1347" s="16" t="s">
        <v>64</v>
      </c>
      <c r="L1347" s="16" t="s">
        <v>15</v>
      </c>
      <c r="M1347" s="16" t="s">
        <v>6138</v>
      </c>
      <c r="N1347" s="16"/>
      <c r="O1347" s="16"/>
    </row>
    <row r="1348" spans="1:15" x14ac:dyDescent="0.3">
      <c r="A1348" s="16">
        <v>1347</v>
      </c>
      <c r="B1348" s="16" t="s">
        <v>1641</v>
      </c>
      <c r="C1348" s="16" t="str">
        <f>"V6362759554112"</f>
        <v>V6362759554112</v>
      </c>
      <c r="D1348" s="16" t="s">
        <v>6139</v>
      </c>
      <c r="E1348" s="16" t="s">
        <v>6121</v>
      </c>
      <c r="F1348" s="21">
        <v>9781264961702</v>
      </c>
      <c r="G1348" s="16" t="s">
        <v>5373</v>
      </c>
      <c r="H1348" s="16" t="s">
        <v>13</v>
      </c>
      <c r="I1348" s="16">
        <v>2024</v>
      </c>
      <c r="J1348" s="16" t="s">
        <v>6140</v>
      </c>
      <c r="K1348" s="16" t="s">
        <v>6141</v>
      </c>
      <c r="L1348" s="16" t="s">
        <v>15</v>
      </c>
      <c r="M1348" s="16" t="s">
        <v>6142</v>
      </c>
      <c r="N1348" s="16"/>
      <c r="O1348" s="16"/>
    </row>
    <row r="1349" spans="1:15" x14ac:dyDescent="0.3">
      <c r="A1349" s="16">
        <v>1348</v>
      </c>
      <c r="B1349" s="16" t="s">
        <v>1641</v>
      </c>
      <c r="C1349" s="16" t="str">
        <f>"V6362759666112"</f>
        <v>V6362759666112</v>
      </c>
      <c r="D1349" s="16" t="s">
        <v>6143</v>
      </c>
      <c r="E1349" s="16" t="s">
        <v>6121</v>
      </c>
      <c r="F1349" s="21">
        <v>9781264961702</v>
      </c>
      <c r="G1349" s="16" t="s">
        <v>5373</v>
      </c>
      <c r="H1349" s="16" t="s">
        <v>13</v>
      </c>
      <c r="I1349" s="16">
        <v>2024</v>
      </c>
      <c r="J1349" s="16" t="s">
        <v>6144</v>
      </c>
      <c r="K1349" s="16" t="s">
        <v>36</v>
      </c>
      <c r="L1349" s="16" t="s">
        <v>15</v>
      </c>
      <c r="M1349" s="16" t="s">
        <v>6145</v>
      </c>
      <c r="N1349" s="16"/>
      <c r="O1349" s="16"/>
    </row>
    <row r="1350" spans="1:15" x14ac:dyDescent="0.3">
      <c r="A1350" s="16">
        <v>1349</v>
      </c>
      <c r="B1350" s="16" t="s">
        <v>1641</v>
      </c>
      <c r="C1350" s="16" t="str">
        <f>"V6362759764112"</f>
        <v>V6362759764112</v>
      </c>
      <c r="D1350" s="16" t="s">
        <v>6146</v>
      </c>
      <c r="E1350" s="16" t="s">
        <v>6121</v>
      </c>
      <c r="F1350" s="21">
        <v>9781264961702</v>
      </c>
      <c r="G1350" s="16" t="s">
        <v>5373</v>
      </c>
      <c r="H1350" s="16" t="s">
        <v>13</v>
      </c>
      <c r="I1350" s="16">
        <v>2024</v>
      </c>
      <c r="J1350" s="16" t="s">
        <v>6147</v>
      </c>
      <c r="K1350" s="16" t="s">
        <v>64</v>
      </c>
      <c r="L1350" s="16" t="s">
        <v>15</v>
      </c>
      <c r="M1350" s="16" t="s">
        <v>6148</v>
      </c>
      <c r="N1350" s="16"/>
      <c r="O1350" s="16"/>
    </row>
    <row r="1351" spans="1:15" x14ac:dyDescent="0.3">
      <c r="A1351" s="16">
        <v>1350</v>
      </c>
      <c r="B1351" s="16" t="s">
        <v>1641</v>
      </c>
      <c r="C1351" s="16" t="str">
        <f>"V6362760747112"</f>
        <v>V6362760747112</v>
      </c>
      <c r="D1351" s="16" t="s">
        <v>6149</v>
      </c>
      <c r="E1351" s="16" t="s">
        <v>6121</v>
      </c>
      <c r="F1351" s="21">
        <v>9781264961702</v>
      </c>
      <c r="G1351" s="16" t="s">
        <v>5373</v>
      </c>
      <c r="H1351" s="16" t="s">
        <v>13</v>
      </c>
      <c r="I1351" s="16">
        <v>2024</v>
      </c>
      <c r="J1351" s="16" t="s">
        <v>6150</v>
      </c>
      <c r="K1351" s="16" t="s">
        <v>64</v>
      </c>
      <c r="L1351" s="16" t="s">
        <v>15</v>
      </c>
      <c r="M1351" s="16" t="s">
        <v>6151</v>
      </c>
      <c r="N1351" s="16"/>
      <c r="O1351" s="16"/>
    </row>
    <row r="1352" spans="1:15" x14ac:dyDescent="0.3">
      <c r="A1352" s="16">
        <v>1351</v>
      </c>
      <c r="B1352" s="16" t="s">
        <v>1641</v>
      </c>
      <c r="C1352" s="16" t="str">
        <f>"V6362760748112"</f>
        <v>V6362760748112</v>
      </c>
      <c r="D1352" s="16" t="s">
        <v>6152</v>
      </c>
      <c r="E1352" s="16" t="s">
        <v>6121</v>
      </c>
      <c r="F1352" s="21">
        <v>9781264961702</v>
      </c>
      <c r="G1352" s="16" t="s">
        <v>5373</v>
      </c>
      <c r="H1352" s="16" t="s">
        <v>13</v>
      </c>
      <c r="I1352" s="16">
        <v>2024</v>
      </c>
      <c r="J1352" s="16" t="s">
        <v>6153</v>
      </c>
      <c r="K1352" s="16" t="s">
        <v>5378</v>
      </c>
      <c r="L1352" s="16" t="s">
        <v>15</v>
      </c>
      <c r="M1352" s="16" t="s">
        <v>6154</v>
      </c>
      <c r="N1352" s="16"/>
      <c r="O1352" s="16"/>
    </row>
    <row r="1353" spans="1:15" x14ac:dyDescent="0.3">
      <c r="A1353" s="16">
        <v>1352</v>
      </c>
      <c r="B1353" s="16" t="s">
        <v>1641</v>
      </c>
      <c r="C1353" s="16" t="str">
        <f>"V6363379055112"</f>
        <v>V6363379055112</v>
      </c>
      <c r="D1353" s="16" t="s">
        <v>6155</v>
      </c>
      <c r="E1353" s="16" t="s">
        <v>6121</v>
      </c>
      <c r="F1353" s="21">
        <v>9781264961702</v>
      </c>
      <c r="G1353" s="16" t="s">
        <v>5373</v>
      </c>
      <c r="H1353" s="16" t="s">
        <v>13</v>
      </c>
      <c r="I1353" s="16">
        <v>2024</v>
      </c>
      <c r="J1353" s="16" t="s">
        <v>6156</v>
      </c>
      <c r="K1353" s="16" t="s">
        <v>526</v>
      </c>
      <c r="L1353" s="16" t="s">
        <v>15</v>
      </c>
      <c r="M1353" s="16" t="s">
        <v>6157</v>
      </c>
      <c r="N1353" s="16"/>
      <c r="O1353" s="16"/>
    </row>
    <row r="1354" spans="1:15" x14ac:dyDescent="0.3">
      <c r="A1354" s="16">
        <v>1353</v>
      </c>
      <c r="B1354" s="16" t="s">
        <v>1641</v>
      </c>
      <c r="C1354" s="16" t="str">
        <f>"YT9781265649159_01"</f>
        <v>YT9781265649159_01</v>
      </c>
      <c r="D1354" s="16" t="s">
        <v>6158</v>
      </c>
      <c r="E1354" s="16" t="s">
        <v>6100</v>
      </c>
      <c r="F1354" s="21">
        <v>9781265649159</v>
      </c>
      <c r="G1354" s="16" t="s">
        <v>796</v>
      </c>
      <c r="H1354" s="16" t="s">
        <v>13</v>
      </c>
      <c r="I1354" s="16">
        <v>2024</v>
      </c>
      <c r="J1354" s="16" t="s">
        <v>6159</v>
      </c>
      <c r="K1354" s="16" t="s">
        <v>510</v>
      </c>
      <c r="L1354" s="16" t="s">
        <v>15</v>
      </c>
      <c r="M1354" s="16" t="s">
        <v>6160</v>
      </c>
      <c r="N1354" s="16"/>
      <c r="O1354" s="16"/>
    </row>
    <row r="1355" spans="1:15" x14ac:dyDescent="0.3">
      <c r="A1355" s="16">
        <v>1354</v>
      </c>
      <c r="B1355" s="16" t="s">
        <v>1641</v>
      </c>
      <c r="C1355" s="16" t="str">
        <f>"YT9781265649159_02"</f>
        <v>YT9781265649159_02</v>
      </c>
      <c r="D1355" s="16" t="s">
        <v>6161</v>
      </c>
      <c r="E1355" s="16" t="s">
        <v>6100</v>
      </c>
      <c r="F1355" s="21">
        <v>9781265649159</v>
      </c>
      <c r="G1355" s="16" t="s">
        <v>796</v>
      </c>
      <c r="H1355" s="16" t="s">
        <v>13</v>
      </c>
      <c r="I1355" s="16">
        <v>2024</v>
      </c>
      <c r="J1355" s="16" t="s">
        <v>6162</v>
      </c>
      <c r="K1355" s="16" t="s">
        <v>1617</v>
      </c>
      <c r="L1355" s="16" t="s">
        <v>15</v>
      </c>
      <c r="M1355" s="16" t="s">
        <v>6163</v>
      </c>
      <c r="N1355" s="16"/>
      <c r="O1355" s="16"/>
    </row>
    <row r="1356" spans="1:15" x14ac:dyDescent="0.3">
      <c r="A1356" s="16">
        <v>1355</v>
      </c>
      <c r="B1356" s="16" t="s">
        <v>1641</v>
      </c>
      <c r="C1356" s="16" t="str">
        <f>"YT9781265649159_03"</f>
        <v>YT9781265649159_03</v>
      </c>
      <c r="D1356" s="16" t="s">
        <v>6164</v>
      </c>
      <c r="E1356" s="16" t="s">
        <v>6100</v>
      </c>
      <c r="F1356" s="21">
        <v>9781265649159</v>
      </c>
      <c r="G1356" s="16" t="s">
        <v>796</v>
      </c>
      <c r="H1356" s="16" t="s">
        <v>13</v>
      </c>
      <c r="I1356" s="16">
        <v>2024</v>
      </c>
      <c r="J1356" s="16" t="s">
        <v>6165</v>
      </c>
      <c r="K1356" s="16" t="s">
        <v>4287</v>
      </c>
      <c r="L1356" s="16" t="s">
        <v>15</v>
      </c>
      <c r="M1356" s="16" t="s">
        <v>6166</v>
      </c>
      <c r="N1356" s="16"/>
      <c r="O1356" s="16"/>
    </row>
    <row r="1357" spans="1:15" x14ac:dyDescent="0.3">
      <c r="A1357" s="16">
        <v>1356</v>
      </c>
      <c r="B1357" s="16" t="s">
        <v>1641</v>
      </c>
      <c r="C1357" s="16" t="str">
        <f>"YT9781265649159_04"</f>
        <v>YT9781265649159_04</v>
      </c>
      <c r="D1357" s="16" t="s">
        <v>6167</v>
      </c>
      <c r="E1357" s="16" t="s">
        <v>6100</v>
      </c>
      <c r="F1357" s="21">
        <v>9781265649159</v>
      </c>
      <c r="G1357" s="16" t="s">
        <v>796</v>
      </c>
      <c r="H1357" s="16" t="s">
        <v>13</v>
      </c>
      <c r="I1357" s="16">
        <v>2024</v>
      </c>
      <c r="J1357" s="16" t="s">
        <v>6168</v>
      </c>
      <c r="K1357" s="16" t="s">
        <v>64</v>
      </c>
      <c r="L1357" s="16" t="s">
        <v>15</v>
      </c>
      <c r="M1357" s="16" t="s">
        <v>6169</v>
      </c>
      <c r="N1357" s="16"/>
      <c r="O1357" s="16"/>
    </row>
    <row r="1358" spans="1:15" x14ac:dyDescent="0.3">
      <c r="A1358" s="16">
        <v>1357</v>
      </c>
      <c r="B1358" s="16" t="s">
        <v>1641</v>
      </c>
      <c r="C1358" s="16" t="str">
        <f>"YT9781265649159_05"</f>
        <v>YT9781265649159_05</v>
      </c>
      <c r="D1358" s="16" t="s">
        <v>6170</v>
      </c>
      <c r="E1358" s="16" t="s">
        <v>6100</v>
      </c>
      <c r="F1358" s="21">
        <v>9781265649159</v>
      </c>
      <c r="G1358" s="16" t="s">
        <v>796</v>
      </c>
      <c r="H1358" s="16" t="s">
        <v>13</v>
      </c>
      <c r="I1358" s="16">
        <v>2024</v>
      </c>
      <c r="J1358" s="16" t="s">
        <v>6171</v>
      </c>
      <c r="K1358" s="16" t="s">
        <v>5054</v>
      </c>
      <c r="L1358" s="16" t="s">
        <v>15</v>
      </c>
      <c r="M1358" s="16" t="s">
        <v>6172</v>
      </c>
      <c r="N1358" s="16"/>
      <c r="O1358" s="16"/>
    </row>
    <row r="1359" spans="1:15" x14ac:dyDescent="0.3">
      <c r="A1359" s="16">
        <v>1358</v>
      </c>
      <c r="B1359" s="16" t="s">
        <v>1641</v>
      </c>
      <c r="C1359" s="16" t="str">
        <f>"YT9781265649159_06"</f>
        <v>YT9781265649159_06</v>
      </c>
      <c r="D1359" s="16" t="s">
        <v>6173</v>
      </c>
      <c r="E1359" s="16" t="s">
        <v>6100</v>
      </c>
      <c r="F1359" s="21">
        <v>9781265649159</v>
      </c>
      <c r="G1359" s="16" t="s">
        <v>796</v>
      </c>
      <c r="H1359" s="16" t="s">
        <v>13</v>
      </c>
      <c r="I1359" s="16">
        <v>2024</v>
      </c>
      <c r="J1359" s="16" t="s">
        <v>6174</v>
      </c>
      <c r="K1359" s="16" t="s">
        <v>1954</v>
      </c>
      <c r="L1359" s="16" t="s">
        <v>15</v>
      </c>
      <c r="M1359" s="16" t="s">
        <v>6175</v>
      </c>
      <c r="N1359" s="16"/>
      <c r="O1359" s="16"/>
    </row>
    <row r="1360" spans="1:15" x14ac:dyDescent="0.3">
      <c r="A1360" s="16">
        <v>1359</v>
      </c>
      <c r="B1360" s="16" t="s">
        <v>1641</v>
      </c>
      <c r="C1360" s="16" t="str">
        <f>"YT9781265649159_07"</f>
        <v>YT9781265649159_07</v>
      </c>
      <c r="D1360" s="16" t="s">
        <v>6176</v>
      </c>
      <c r="E1360" s="16" t="s">
        <v>6100</v>
      </c>
      <c r="F1360" s="21">
        <v>9781265649159</v>
      </c>
      <c r="G1360" s="16" t="s">
        <v>796</v>
      </c>
      <c r="H1360" s="16" t="s">
        <v>13</v>
      </c>
      <c r="I1360" s="16">
        <v>2024</v>
      </c>
      <c r="J1360" s="16" t="s">
        <v>6177</v>
      </c>
      <c r="K1360" s="16" t="s">
        <v>5054</v>
      </c>
      <c r="L1360" s="16" t="s">
        <v>15</v>
      </c>
      <c r="M1360" s="16" t="s">
        <v>6178</v>
      </c>
      <c r="N1360" s="16"/>
      <c r="O1360" s="16"/>
    </row>
    <row r="1361" spans="1:15" x14ac:dyDescent="0.3">
      <c r="A1361" s="16">
        <v>1360</v>
      </c>
      <c r="B1361" s="16" t="s">
        <v>1641</v>
      </c>
      <c r="C1361" s="16" t="str">
        <f>"YT9781265649159_08"</f>
        <v>YT9781265649159_08</v>
      </c>
      <c r="D1361" s="16" t="s">
        <v>6179</v>
      </c>
      <c r="E1361" s="16" t="s">
        <v>6100</v>
      </c>
      <c r="F1361" s="21">
        <v>9781265649159</v>
      </c>
      <c r="G1361" s="16" t="s">
        <v>796</v>
      </c>
      <c r="H1361" s="16" t="s">
        <v>13</v>
      </c>
      <c r="I1361" s="16">
        <v>2024</v>
      </c>
      <c r="J1361" s="16" t="s">
        <v>6180</v>
      </c>
      <c r="K1361" s="16" t="s">
        <v>6181</v>
      </c>
      <c r="L1361" s="16" t="s">
        <v>15</v>
      </c>
      <c r="M1361" s="16" t="s">
        <v>6182</v>
      </c>
      <c r="N1361" s="16"/>
      <c r="O1361" s="16"/>
    </row>
    <row r="1362" spans="1:15" x14ac:dyDescent="0.3">
      <c r="A1362" s="16">
        <v>1361</v>
      </c>
      <c r="B1362" s="16" t="s">
        <v>1641</v>
      </c>
      <c r="C1362" s="16" t="str">
        <f>"YT9781265649159_09"</f>
        <v>YT9781265649159_09</v>
      </c>
      <c r="D1362" s="16" t="s">
        <v>6183</v>
      </c>
      <c r="E1362" s="16" t="s">
        <v>6100</v>
      </c>
      <c r="F1362" s="21">
        <v>9781265649159</v>
      </c>
      <c r="G1362" s="16" t="s">
        <v>796</v>
      </c>
      <c r="H1362" s="16" t="s">
        <v>13</v>
      </c>
      <c r="I1362" s="16">
        <v>2024</v>
      </c>
      <c r="J1362" s="16" t="s">
        <v>6184</v>
      </c>
      <c r="K1362" s="16" t="s">
        <v>1969</v>
      </c>
      <c r="L1362" s="16" t="s">
        <v>15</v>
      </c>
      <c r="M1362" s="16" t="s">
        <v>6185</v>
      </c>
      <c r="N1362" s="16"/>
      <c r="O1362" s="16"/>
    </row>
    <row r="1363" spans="1:15" x14ac:dyDescent="0.3">
      <c r="A1363" s="16">
        <v>1362</v>
      </c>
      <c r="B1363" s="16" t="s">
        <v>1641</v>
      </c>
      <c r="C1363" s="16" t="str">
        <f>"YT9781265649159_10"</f>
        <v>YT9781265649159_10</v>
      </c>
      <c r="D1363" s="16" t="s">
        <v>6186</v>
      </c>
      <c r="E1363" s="16" t="s">
        <v>6100</v>
      </c>
      <c r="F1363" s="21">
        <v>9781265649159</v>
      </c>
      <c r="G1363" s="16" t="s">
        <v>796</v>
      </c>
      <c r="H1363" s="16" t="s">
        <v>13</v>
      </c>
      <c r="I1363" s="16">
        <v>2024</v>
      </c>
      <c r="J1363" s="16" t="s">
        <v>6187</v>
      </c>
      <c r="K1363" s="16" t="s">
        <v>6188</v>
      </c>
      <c r="L1363" s="16" t="s">
        <v>15</v>
      </c>
      <c r="M1363" s="16" t="s">
        <v>6189</v>
      </c>
      <c r="N1363" s="16"/>
      <c r="O1363" s="16"/>
    </row>
    <row r="1364" spans="1:15" x14ac:dyDescent="0.3">
      <c r="A1364" s="16">
        <v>1363</v>
      </c>
      <c r="B1364" s="16" t="s">
        <v>1641</v>
      </c>
      <c r="C1364" s="16" t="str">
        <f>"YT9781265649159_11"</f>
        <v>YT9781265649159_11</v>
      </c>
      <c r="D1364" s="16" t="s">
        <v>6190</v>
      </c>
      <c r="E1364" s="16" t="s">
        <v>6100</v>
      </c>
      <c r="F1364" s="21">
        <v>9781265649159</v>
      </c>
      <c r="G1364" s="16" t="s">
        <v>796</v>
      </c>
      <c r="H1364" s="16" t="s">
        <v>13</v>
      </c>
      <c r="I1364" s="16">
        <v>2024</v>
      </c>
      <c r="J1364" s="16" t="s">
        <v>6191</v>
      </c>
      <c r="K1364" s="16" t="s">
        <v>6118</v>
      </c>
      <c r="L1364" s="16" t="s">
        <v>15</v>
      </c>
      <c r="M1364" s="16" t="s">
        <v>6192</v>
      </c>
      <c r="N1364" s="16"/>
      <c r="O1364" s="16"/>
    </row>
    <row r="1365" spans="1:15" x14ac:dyDescent="0.3">
      <c r="A1365" s="16">
        <v>1364</v>
      </c>
      <c r="B1365" s="16" t="s">
        <v>1641</v>
      </c>
      <c r="C1365" s="16" t="str">
        <f>"YT9781265649159_12"</f>
        <v>YT9781265649159_12</v>
      </c>
      <c r="D1365" s="16" t="s">
        <v>6193</v>
      </c>
      <c r="E1365" s="16" t="s">
        <v>6100</v>
      </c>
      <c r="F1365" s="21">
        <v>9781265649159</v>
      </c>
      <c r="G1365" s="16" t="s">
        <v>796</v>
      </c>
      <c r="H1365" s="16" t="s">
        <v>13</v>
      </c>
      <c r="I1365" s="16">
        <v>2024</v>
      </c>
      <c r="J1365" s="16" t="s">
        <v>6194</v>
      </c>
      <c r="K1365" s="16" t="s">
        <v>6195</v>
      </c>
      <c r="L1365" s="16" t="s">
        <v>15</v>
      </c>
      <c r="M1365" s="16" t="s">
        <v>6196</v>
      </c>
      <c r="N1365" s="16"/>
      <c r="O1365" s="16"/>
    </row>
    <row r="1366" spans="1:15" x14ac:dyDescent="0.3">
      <c r="A1366" s="16">
        <v>1365</v>
      </c>
      <c r="B1366" s="16" t="s">
        <v>1641</v>
      </c>
      <c r="C1366" s="16" t="str">
        <f>"YT9781265649159_13"</f>
        <v>YT9781265649159_13</v>
      </c>
      <c r="D1366" s="16" t="s">
        <v>6197</v>
      </c>
      <c r="E1366" s="16" t="s">
        <v>6198</v>
      </c>
      <c r="F1366" s="21">
        <v>9781265649159</v>
      </c>
      <c r="G1366" s="16" t="s">
        <v>5674</v>
      </c>
      <c r="H1366" s="16" t="s">
        <v>4152</v>
      </c>
      <c r="I1366" s="16">
        <v>2024</v>
      </c>
      <c r="J1366" s="16" t="s">
        <v>6199</v>
      </c>
      <c r="K1366" s="16" t="s">
        <v>6200</v>
      </c>
      <c r="L1366" s="16" t="s">
        <v>15</v>
      </c>
      <c r="M1366" s="16" t="s">
        <v>6201</v>
      </c>
      <c r="N1366" s="16"/>
      <c r="O1366" s="16"/>
    </row>
    <row r="1367" spans="1:15" x14ac:dyDescent="0.3">
      <c r="A1367" s="16">
        <v>1366</v>
      </c>
      <c r="B1367" s="16" t="s">
        <v>1641</v>
      </c>
      <c r="C1367" s="16" t="str">
        <f>"YT9781265649159_14"</f>
        <v>YT9781265649159_14</v>
      </c>
      <c r="D1367" s="16" t="s">
        <v>6202</v>
      </c>
      <c r="E1367" s="16" t="s">
        <v>6100</v>
      </c>
      <c r="F1367" s="21">
        <v>9781265649159</v>
      </c>
      <c r="G1367" s="16" t="s">
        <v>796</v>
      </c>
      <c r="H1367" s="16" t="s">
        <v>13</v>
      </c>
      <c r="I1367" s="16">
        <v>2024</v>
      </c>
      <c r="J1367" s="16" t="s">
        <v>6203</v>
      </c>
      <c r="K1367" s="16" t="s">
        <v>6188</v>
      </c>
      <c r="L1367" s="16" t="s">
        <v>15</v>
      </c>
      <c r="M1367" s="16" t="s">
        <v>6204</v>
      </c>
      <c r="N1367" s="16"/>
      <c r="O1367" s="16"/>
    </row>
    <row r="1368" spans="1:15" x14ac:dyDescent="0.3">
      <c r="A1368" s="16">
        <v>1367</v>
      </c>
      <c r="B1368" s="16" t="s">
        <v>1641</v>
      </c>
      <c r="C1368" s="16" t="str">
        <f>"YT9781265649159_15"</f>
        <v>YT9781265649159_15</v>
      </c>
      <c r="D1368" s="16" t="s">
        <v>6205</v>
      </c>
      <c r="E1368" s="16" t="s">
        <v>6100</v>
      </c>
      <c r="F1368" s="21">
        <v>9781265649159</v>
      </c>
      <c r="G1368" s="16" t="s">
        <v>796</v>
      </c>
      <c r="H1368" s="16" t="s">
        <v>13</v>
      </c>
      <c r="I1368" s="16">
        <v>2024</v>
      </c>
      <c r="J1368" s="16" t="s">
        <v>6206</v>
      </c>
      <c r="K1368" s="16" t="s">
        <v>1117</v>
      </c>
      <c r="L1368" s="16" t="s">
        <v>15</v>
      </c>
      <c r="M1368" s="16" t="s">
        <v>6207</v>
      </c>
      <c r="N1368" s="16"/>
      <c r="O1368" s="16"/>
    </row>
    <row r="1369" spans="1:15" x14ac:dyDescent="0.3">
      <c r="A1369" s="16">
        <v>1368</v>
      </c>
      <c r="B1369" s="16" t="s">
        <v>1641</v>
      </c>
      <c r="C1369" s="16" t="str">
        <f>"YT9781265649159_16"</f>
        <v>YT9781265649159_16</v>
      </c>
      <c r="D1369" s="16" t="s">
        <v>6208</v>
      </c>
      <c r="E1369" s="16" t="s">
        <v>6100</v>
      </c>
      <c r="F1369" s="21">
        <v>9781265649159</v>
      </c>
      <c r="G1369" s="16" t="s">
        <v>796</v>
      </c>
      <c r="H1369" s="16" t="s">
        <v>13</v>
      </c>
      <c r="I1369" s="16">
        <v>2024</v>
      </c>
      <c r="J1369" s="16" t="s">
        <v>6209</v>
      </c>
      <c r="K1369" s="16" t="s">
        <v>1117</v>
      </c>
      <c r="L1369" s="16" t="s">
        <v>15</v>
      </c>
      <c r="M1369" s="16" t="s">
        <v>6210</v>
      </c>
      <c r="N1369" s="16"/>
      <c r="O1369" s="16"/>
    </row>
    <row r="1370" spans="1:15" x14ac:dyDescent="0.3">
      <c r="A1370" s="16">
        <v>1369</v>
      </c>
      <c r="B1370" s="16" t="s">
        <v>1641</v>
      </c>
      <c r="C1370" s="16" t="str">
        <f>"YT9781265649159_17"</f>
        <v>YT9781265649159_17</v>
      </c>
      <c r="D1370" s="16" t="s">
        <v>6211</v>
      </c>
      <c r="E1370" s="16" t="s">
        <v>6100</v>
      </c>
      <c r="F1370" s="21">
        <v>9781265649159</v>
      </c>
      <c r="G1370" s="16" t="s">
        <v>796</v>
      </c>
      <c r="H1370" s="16" t="s">
        <v>13</v>
      </c>
      <c r="I1370" s="16">
        <v>2024</v>
      </c>
      <c r="J1370" s="16" t="s">
        <v>6212</v>
      </c>
      <c r="K1370" s="16" t="s">
        <v>6118</v>
      </c>
      <c r="L1370" s="16" t="s">
        <v>15</v>
      </c>
      <c r="M1370" s="16" t="s">
        <v>6213</v>
      </c>
      <c r="N1370" s="16"/>
      <c r="O1370" s="16"/>
    </row>
    <row r="1371" spans="1:15" x14ac:dyDescent="0.3">
      <c r="A1371" s="16">
        <v>1370</v>
      </c>
      <c r="B1371" s="16" t="s">
        <v>1641</v>
      </c>
      <c r="C1371" s="16" t="str">
        <f>"YT9781265649159_18"</f>
        <v>YT9781265649159_18</v>
      </c>
      <c r="D1371" s="16" t="s">
        <v>6214</v>
      </c>
      <c r="E1371" s="16" t="s">
        <v>6100</v>
      </c>
      <c r="F1371" s="21">
        <v>9781265649159</v>
      </c>
      <c r="G1371" s="16" t="s">
        <v>796</v>
      </c>
      <c r="H1371" s="16" t="s">
        <v>13</v>
      </c>
      <c r="I1371" s="16">
        <v>2024</v>
      </c>
      <c r="J1371" s="16" t="s">
        <v>6215</v>
      </c>
      <c r="K1371" s="16" t="s">
        <v>1926</v>
      </c>
      <c r="L1371" s="16" t="s">
        <v>15</v>
      </c>
      <c r="M1371" s="16" t="s">
        <v>6216</v>
      </c>
      <c r="N1371" s="16"/>
      <c r="O1371" s="16"/>
    </row>
    <row r="1372" spans="1:15" x14ac:dyDescent="0.3">
      <c r="A1372" s="16">
        <v>1371</v>
      </c>
      <c r="B1372" s="16" t="s">
        <v>1641</v>
      </c>
      <c r="C1372" s="16" t="str">
        <f>"YT9781265649159_19"</f>
        <v>YT9781265649159_19</v>
      </c>
      <c r="D1372" s="16" t="s">
        <v>6217</v>
      </c>
      <c r="E1372" s="16" t="s">
        <v>6100</v>
      </c>
      <c r="F1372" s="21">
        <v>9781265649159</v>
      </c>
      <c r="G1372" s="16" t="s">
        <v>796</v>
      </c>
      <c r="H1372" s="16" t="s">
        <v>13</v>
      </c>
      <c r="I1372" s="16">
        <v>2024</v>
      </c>
      <c r="J1372" s="16" t="s">
        <v>6218</v>
      </c>
      <c r="K1372" s="16" t="s">
        <v>6219</v>
      </c>
      <c r="L1372" s="16" t="s">
        <v>15</v>
      </c>
      <c r="M1372" s="16" t="s">
        <v>6220</v>
      </c>
      <c r="N1372" s="16"/>
      <c r="O1372" s="16"/>
    </row>
    <row r="1373" spans="1:15" x14ac:dyDescent="0.3">
      <c r="A1373" s="16">
        <v>1372</v>
      </c>
      <c r="B1373" s="16" t="s">
        <v>1641</v>
      </c>
      <c r="C1373" s="16" t="str">
        <f>"YT9781265649159_20"</f>
        <v>YT9781265649159_20</v>
      </c>
      <c r="D1373" s="16" t="s">
        <v>6221</v>
      </c>
      <c r="E1373" s="16" t="s">
        <v>6100</v>
      </c>
      <c r="F1373" s="21">
        <v>9781265649159</v>
      </c>
      <c r="G1373" s="16" t="s">
        <v>796</v>
      </c>
      <c r="H1373" s="16" t="s">
        <v>13</v>
      </c>
      <c r="I1373" s="16">
        <v>2024</v>
      </c>
      <c r="J1373" s="16" t="s">
        <v>6222</v>
      </c>
      <c r="K1373" s="16" t="s">
        <v>6219</v>
      </c>
      <c r="L1373" s="16" t="s">
        <v>15</v>
      </c>
      <c r="M1373" s="16" t="s">
        <v>6223</v>
      </c>
      <c r="N1373" s="16"/>
      <c r="O1373" s="16"/>
    </row>
    <row r="1374" spans="1:15" x14ac:dyDescent="0.3">
      <c r="A1374" s="16">
        <v>1373</v>
      </c>
      <c r="B1374" s="16" t="s">
        <v>1641</v>
      </c>
      <c r="C1374" s="16" t="str">
        <f>"YT9781265649159_21"</f>
        <v>YT9781265649159_21</v>
      </c>
      <c r="D1374" s="16" t="s">
        <v>6224</v>
      </c>
      <c r="E1374" s="16" t="s">
        <v>6100</v>
      </c>
      <c r="F1374" s="21">
        <v>9781265649159</v>
      </c>
      <c r="G1374" s="16" t="s">
        <v>796</v>
      </c>
      <c r="H1374" s="16" t="s">
        <v>13</v>
      </c>
      <c r="I1374" s="16">
        <v>2024</v>
      </c>
      <c r="J1374" s="16" t="s">
        <v>6225</v>
      </c>
      <c r="K1374" s="16" t="s">
        <v>1940</v>
      </c>
      <c r="L1374" s="16" t="s">
        <v>15</v>
      </c>
      <c r="M1374" s="16" t="s">
        <v>6226</v>
      </c>
      <c r="N1374" s="16"/>
      <c r="O1374" s="16"/>
    </row>
    <row r="1375" spans="1:15" x14ac:dyDescent="0.3">
      <c r="A1375" s="16">
        <v>1374</v>
      </c>
      <c r="B1375" s="16" t="s">
        <v>1641</v>
      </c>
      <c r="C1375" s="16" t="str">
        <f>"YT9781265649159_22"</f>
        <v>YT9781265649159_22</v>
      </c>
      <c r="D1375" s="16" t="s">
        <v>6227</v>
      </c>
      <c r="E1375" s="16" t="s">
        <v>6100</v>
      </c>
      <c r="F1375" s="21">
        <v>9781265649159</v>
      </c>
      <c r="G1375" s="16" t="s">
        <v>796</v>
      </c>
      <c r="H1375" s="16" t="s">
        <v>13</v>
      </c>
      <c r="I1375" s="16">
        <v>2024</v>
      </c>
      <c r="J1375" s="16" t="s">
        <v>6228</v>
      </c>
      <c r="K1375" s="16" t="s">
        <v>6229</v>
      </c>
      <c r="L1375" s="16" t="s">
        <v>15</v>
      </c>
      <c r="M1375" s="16" t="s">
        <v>6230</v>
      </c>
      <c r="N1375" s="16"/>
      <c r="O1375" s="16"/>
    </row>
    <row r="1376" spans="1:15" x14ac:dyDescent="0.3">
      <c r="A1376" s="16">
        <v>1375</v>
      </c>
      <c r="B1376" s="16" t="s">
        <v>1641</v>
      </c>
      <c r="C1376" s="16" t="str">
        <f>"YT9781265649159_23"</f>
        <v>YT9781265649159_23</v>
      </c>
      <c r="D1376" s="16" t="s">
        <v>6231</v>
      </c>
      <c r="E1376" s="16" t="s">
        <v>6198</v>
      </c>
      <c r="F1376" s="21">
        <v>9781265649159</v>
      </c>
      <c r="G1376" s="16" t="s">
        <v>5674</v>
      </c>
      <c r="H1376" s="16" t="s">
        <v>4152</v>
      </c>
      <c r="I1376" s="16">
        <v>2024</v>
      </c>
      <c r="J1376" s="16" t="s">
        <v>6232</v>
      </c>
      <c r="K1376" s="16" t="s">
        <v>6233</v>
      </c>
      <c r="L1376" s="16" t="s">
        <v>15</v>
      </c>
      <c r="M1376" s="16" t="s">
        <v>6234</v>
      </c>
      <c r="N1376" s="16"/>
      <c r="O1376" s="16"/>
    </row>
    <row r="1377" spans="1:15" x14ac:dyDescent="0.3">
      <c r="A1377" s="16">
        <v>1376</v>
      </c>
      <c r="B1377" s="16" t="s">
        <v>1641</v>
      </c>
      <c r="C1377" s="16" t="str">
        <f>"YT9781265649159_25"</f>
        <v>YT9781265649159_25</v>
      </c>
      <c r="D1377" s="16" t="s">
        <v>6235</v>
      </c>
      <c r="E1377" s="16" t="s">
        <v>6100</v>
      </c>
      <c r="F1377" s="21">
        <v>9781265649159</v>
      </c>
      <c r="G1377" s="16" t="s">
        <v>796</v>
      </c>
      <c r="H1377" s="16" t="s">
        <v>13</v>
      </c>
      <c r="I1377" s="16">
        <v>2024</v>
      </c>
      <c r="J1377" s="16" t="s">
        <v>6236</v>
      </c>
      <c r="K1377" s="16" t="s">
        <v>4287</v>
      </c>
      <c r="L1377" s="16" t="s">
        <v>15</v>
      </c>
      <c r="M1377" s="16" t="s">
        <v>6237</v>
      </c>
      <c r="N1377" s="16"/>
      <c r="O1377" s="16"/>
    </row>
    <row r="1378" spans="1:15" x14ac:dyDescent="0.3">
      <c r="A1378" s="16">
        <v>1377</v>
      </c>
      <c r="B1378" s="16" t="s">
        <v>1641</v>
      </c>
      <c r="C1378" s="16" t="str">
        <f>"YT9781265649159_26"</f>
        <v>YT9781265649159_26</v>
      </c>
      <c r="D1378" s="16" t="s">
        <v>6238</v>
      </c>
      <c r="E1378" s="16" t="s">
        <v>6100</v>
      </c>
      <c r="F1378" s="21">
        <v>9781265649159</v>
      </c>
      <c r="G1378" s="16" t="s">
        <v>796</v>
      </c>
      <c r="H1378" s="16" t="s">
        <v>13</v>
      </c>
      <c r="I1378" s="16">
        <v>2024</v>
      </c>
      <c r="J1378" s="16" t="s">
        <v>6239</v>
      </c>
      <c r="K1378" s="16" t="s">
        <v>1617</v>
      </c>
      <c r="L1378" s="16" t="s">
        <v>15</v>
      </c>
      <c r="M1378" s="16" t="s">
        <v>6240</v>
      </c>
      <c r="N1378" s="16"/>
      <c r="O1378" s="16"/>
    </row>
    <row r="1379" spans="1:15" x14ac:dyDescent="0.3">
      <c r="A1379" s="16">
        <v>1378</v>
      </c>
      <c r="B1379" s="16" t="s">
        <v>1641</v>
      </c>
      <c r="C1379" s="16" t="str">
        <f>"YT9781265649159_27"</f>
        <v>YT9781265649159_27</v>
      </c>
      <c r="D1379" s="16" t="s">
        <v>6241</v>
      </c>
      <c r="E1379" s="16" t="s">
        <v>6100</v>
      </c>
      <c r="F1379" s="21">
        <v>9781265649159</v>
      </c>
      <c r="G1379" s="16" t="s">
        <v>796</v>
      </c>
      <c r="H1379" s="16" t="s">
        <v>13</v>
      </c>
      <c r="I1379" s="16">
        <v>2024</v>
      </c>
      <c r="J1379" s="16" t="s">
        <v>6242</v>
      </c>
      <c r="K1379" s="16" t="s">
        <v>6243</v>
      </c>
      <c r="L1379" s="16" t="s">
        <v>15</v>
      </c>
      <c r="M1379" s="16" t="s">
        <v>6244</v>
      </c>
      <c r="N1379" s="16"/>
      <c r="O1379" s="16"/>
    </row>
    <row r="1380" spans="1:15" x14ac:dyDescent="0.3">
      <c r="A1380" s="16">
        <v>1379</v>
      </c>
      <c r="B1380" s="16" t="s">
        <v>1641</v>
      </c>
      <c r="C1380" s="16" t="str">
        <f>"YT9781265649159_30"</f>
        <v>YT9781265649159_30</v>
      </c>
      <c r="D1380" s="16" t="s">
        <v>6245</v>
      </c>
      <c r="E1380" s="16" t="s">
        <v>6100</v>
      </c>
      <c r="F1380" s="21">
        <v>9781265649159</v>
      </c>
      <c r="G1380" s="16" t="s">
        <v>796</v>
      </c>
      <c r="H1380" s="16" t="s">
        <v>13</v>
      </c>
      <c r="I1380" s="16">
        <v>2024</v>
      </c>
      <c r="J1380" s="16" t="s">
        <v>6246</v>
      </c>
      <c r="K1380" s="16" t="s">
        <v>1954</v>
      </c>
      <c r="L1380" s="16" t="s">
        <v>15</v>
      </c>
      <c r="M1380" s="16" t="s">
        <v>6247</v>
      </c>
      <c r="N1380" s="16"/>
      <c r="O1380" s="16"/>
    </row>
    <row r="1381" spans="1:15" x14ac:dyDescent="0.3">
      <c r="A1381" s="16">
        <v>1380</v>
      </c>
      <c r="B1381" s="16" t="s">
        <v>1641</v>
      </c>
      <c r="C1381" s="16" t="str">
        <f>"YT9781265649159_31"</f>
        <v>YT9781265649159_31</v>
      </c>
      <c r="D1381" s="16" t="s">
        <v>6248</v>
      </c>
      <c r="E1381" s="16" t="s">
        <v>6100</v>
      </c>
      <c r="F1381" s="21">
        <v>9781265649159</v>
      </c>
      <c r="G1381" s="16" t="s">
        <v>796</v>
      </c>
      <c r="H1381" s="16" t="s">
        <v>13</v>
      </c>
      <c r="I1381" s="16">
        <v>2024</v>
      </c>
      <c r="J1381" s="16" t="s">
        <v>6249</v>
      </c>
      <c r="K1381" s="16" t="s">
        <v>6250</v>
      </c>
      <c r="L1381" s="16" t="s">
        <v>15</v>
      </c>
      <c r="M1381" s="16" t="s">
        <v>6251</v>
      </c>
      <c r="N1381" s="16"/>
      <c r="O1381" s="16"/>
    </row>
    <row r="1382" spans="1:15" x14ac:dyDescent="0.3">
      <c r="A1382" s="16">
        <v>1381</v>
      </c>
      <c r="B1382" s="16" t="s">
        <v>1641</v>
      </c>
      <c r="C1382" s="16" t="str">
        <f>"YT9781265649159_32"</f>
        <v>YT9781265649159_32</v>
      </c>
      <c r="D1382" s="16" t="s">
        <v>6252</v>
      </c>
      <c r="E1382" s="16" t="s">
        <v>6100</v>
      </c>
      <c r="F1382" s="21">
        <v>9781265649159</v>
      </c>
      <c r="G1382" s="16" t="s">
        <v>796</v>
      </c>
      <c r="H1382" s="16" t="s">
        <v>13</v>
      </c>
      <c r="I1382" s="16">
        <v>2024</v>
      </c>
      <c r="J1382" s="16" t="s">
        <v>6253</v>
      </c>
      <c r="K1382" s="16" t="s">
        <v>1786</v>
      </c>
      <c r="L1382" s="16" t="s">
        <v>15</v>
      </c>
      <c r="M1382" s="16" t="s">
        <v>6254</v>
      </c>
      <c r="N1382" s="16"/>
      <c r="O1382" s="16"/>
    </row>
    <row r="1383" spans="1:15" x14ac:dyDescent="0.3">
      <c r="A1383" s="16">
        <v>1382</v>
      </c>
      <c r="B1383" s="16" t="s">
        <v>1641</v>
      </c>
      <c r="C1383" s="16" t="str">
        <f>"YT9781265649159_33"</f>
        <v>YT9781265649159_33</v>
      </c>
      <c r="D1383" s="16" t="s">
        <v>6255</v>
      </c>
      <c r="E1383" s="16" t="s">
        <v>6100</v>
      </c>
      <c r="F1383" s="21">
        <v>9781265649159</v>
      </c>
      <c r="G1383" s="16" t="s">
        <v>796</v>
      </c>
      <c r="H1383" s="16" t="s">
        <v>13</v>
      </c>
      <c r="I1383" s="16">
        <v>2024</v>
      </c>
      <c r="J1383" s="16" t="s">
        <v>6256</v>
      </c>
      <c r="K1383" s="16" t="s">
        <v>2601</v>
      </c>
      <c r="L1383" s="16" t="s">
        <v>15</v>
      </c>
      <c r="M1383" s="16" t="s">
        <v>6257</v>
      </c>
      <c r="N1383" s="16"/>
      <c r="O1383" s="16"/>
    </row>
    <row r="1384" spans="1:15" x14ac:dyDescent="0.3">
      <c r="A1384" s="16">
        <v>1383</v>
      </c>
      <c r="B1384" s="16" t="s">
        <v>1641</v>
      </c>
      <c r="C1384" s="16" t="str">
        <f>"YT9781265649159_34"</f>
        <v>YT9781265649159_34</v>
      </c>
      <c r="D1384" s="16" t="s">
        <v>6258</v>
      </c>
      <c r="E1384" s="16" t="s">
        <v>6100</v>
      </c>
      <c r="F1384" s="21">
        <v>9781265649159</v>
      </c>
      <c r="G1384" s="16" t="s">
        <v>796</v>
      </c>
      <c r="H1384" s="16" t="s">
        <v>13</v>
      </c>
      <c r="I1384" s="16">
        <v>2024</v>
      </c>
      <c r="J1384" s="16" t="s">
        <v>6259</v>
      </c>
      <c r="K1384" s="16" t="s">
        <v>6260</v>
      </c>
      <c r="L1384" s="16" t="s">
        <v>15</v>
      </c>
      <c r="M1384" s="16" t="s">
        <v>6261</v>
      </c>
      <c r="N1384" s="16"/>
      <c r="O1384" s="16"/>
    </row>
    <row r="1385" spans="1:15" x14ac:dyDescent="0.3">
      <c r="A1385" s="16">
        <v>1384</v>
      </c>
      <c r="B1385" s="16" t="s">
        <v>1641</v>
      </c>
      <c r="C1385" s="16" t="str">
        <f>"YT9781265649159_35"</f>
        <v>YT9781265649159_35</v>
      </c>
      <c r="D1385" s="16" t="s">
        <v>6262</v>
      </c>
      <c r="E1385" s="16" t="s">
        <v>6100</v>
      </c>
      <c r="F1385" s="21">
        <v>9781265649159</v>
      </c>
      <c r="G1385" s="16" t="s">
        <v>796</v>
      </c>
      <c r="H1385" s="16" t="s">
        <v>13</v>
      </c>
      <c r="I1385" s="16">
        <v>2024</v>
      </c>
      <c r="J1385" s="16" t="s">
        <v>6263</v>
      </c>
      <c r="K1385" s="16" t="s">
        <v>1954</v>
      </c>
      <c r="L1385" s="16" t="s">
        <v>15</v>
      </c>
      <c r="M1385" s="16" t="s">
        <v>6264</v>
      </c>
      <c r="N1385" s="16"/>
      <c r="O1385" s="16"/>
    </row>
    <row r="1386" spans="1:15" x14ac:dyDescent="0.3">
      <c r="A1386" s="16">
        <v>1385</v>
      </c>
      <c r="B1386" s="16" t="s">
        <v>1641</v>
      </c>
      <c r="C1386" s="16" t="str">
        <f>"YT9781265649159_36"</f>
        <v>YT9781265649159_36</v>
      </c>
      <c r="D1386" s="16" t="s">
        <v>6265</v>
      </c>
      <c r="E1386" s="16" t="s">
        <v>6100</v>
      </c>
      <c r="F1386" s="21">
        <v>9781265649159</v>
      </c>
      <c r="G1386" s="16" t="s">
        <v>796</v>
      </c>
      <c r="H1386" s="16" t="s">
        <v>13</v>
      </c>
      <c r="I1386" s="16">
        <v>2024</v>
      </c>
      <c r="J1386" s="16" t="s">
        <v>6266</v>
      </c>
      <c r="K1386" s="16" t="s">
        <v>4126</v>
      </c>
      <c r="L1386" s="16" t="s">
        <v>15</v>
      </c>
      <c r="M1386" s="16" t="s">
        <v>6267</v>
      </c>
      <c r="N1386" s="16"/>
      <c r="O1386" s="16"/>
    </row>
    <row r="1387" spans="1:15" x14ac:dyDescent="0.3">
      <c r="A1387" s="16">
        <v>1386</v>
      </c>
      <c r="B1387" s="16" t="s">
        <v>1641</v>
      </c>
      <c r="C1387" s="16" t="str">
        <f>"YT9781265649159_37"</f>
        <v>YT9781265649159_37</v>
      </c>
      <c r="D1387" s="16" t="s">
        <v>6268</v>
      </c>
      <c r="E1387" s="16" t="s">
        <v>6100</v>
      </c>
      <c r="F1387" s="21">
        <v>9781265649159</v>
      </c>
      <c r="G1387" s="16" t="s">
        <v>796</v>
      </c>
      <c r="H1387" s="16" t="s">
        <v>13</v>
      </c>
      <c r="I1387" s="16">
        <v>2024</v>
      </c>
      <c r="J1387" s="16" t="s">
        <v>6269</v>
      </c>
      <c r="K1387" s="16" t="s">
        <v>4287</v>
      </c>
      <c r="L1387" s="16" t="s">
        <v>15</v>
      </c>
      <c r="M1387" s="16" t="s">
        <v>6270</v>
      </c>
      <c r="N1387" s="16"/>
      <c r="O1387" s="16"/>
    </row>
    <row r="1388" spans="1:15" x14ac:dyDescent="0.3">
      <c r="A1388" s="16">
        <v>1387</v>
      </c>
      <c r="B1388" s="16" t="s">
        <v>1641</v>
      </c>
      <c r="C1388" s="16" t="str">
        <f>"YT9781265649159_38"</f>
        <v>YT9781265649159_38</v>
      </c>
      <c r="D1388" s="16" t="s">
        <v>6271</v>
      </c>
      <c r="E1388" s="16" t="s">
        <v>6100</v>
      </c>
      <c r="F1388" s="21">
        <v>9781265649159</v>
      </c>
      <c r="G1388" s="16" t="s">
        <v>796</v>
      </c>
      <c r="H1388" s="16" t="s">
        <v>13</v>
      </c>
      <c r="I1388" s="16">
        <v>2024</v>
      </c>
      <c r="J1388" s="16" t="s">
        <v>6272</v>
      </c>
      <c r="K1388" s="16" t="s">
        <v>6273</v>
      </c>
      <c r="L1388" s="16" t="s">
        <v>15</v>
      </c>
      <c r="M1388" s="16" t="s">
        <v>6274</v>
      </c>
      <c r="N1388" s="16"/>
      <c r="O1388" s="16"/>
    </row>
    <row r="1389" spans="1:15" x14ac:dyDescent="0.3">
      <c r="A1389" s="16">
        <v>1388</v>
      </c>
      <c r="B1389" s="16" t="s">
        <v>1641</v>
      </c>
      <c r="C1389" s="16" t="str">
        <f>"YT9781265649159_39"</f>
        <v>YT9781265649159_39</v>
      </c>
      <c r="D1389" s="16" t="s">
        <v>6275</v>
      </c>
      <c r="E1389" s="16" t="s">
        <v>6100</v>
      </c>
      <c r="F1389" s="21">
        <v>9781265649159</v>
      </c>
      <c r="G1389" s="16" t="s">
        <v>796</v>
      </c>
      <c r="H1389" s="16" t="s">
        <v>13</v>
      </c>
      <c r="I1389" s="16">
        <v>2024</v>
      </c>
      <c r="J1389" s="16" t="s">
        <v>6276</v>
      </c>
      <c r="K1389" s="16" t="s">
        <v>64</v>
      </c>
      <c r="L1389" s="16" t="s">
        <v>15</v>
      </c>
      <c r="M1389" s="16" t="s">
        <v>6277</v>
      </c>
      <c r="N1389" s="16"/>
      <c r="O1389" s="16"/>
    </row>
    <row r="1390" spans="1:15" x14ac:dyDescent="0.3">
      <c r="A1390" s="16">
        <v>1389</v>
      </c>
      <c r="B1390" s="16" t="s">
        <v>1641</v>
      </c>
      <c r="C1390" s="16" t="str">
        <f>"YT9781265649159_40"</f>
        <v>YT9781265649159_40</v>
      </c>
      <c r="D1390" s="16" t="s">
        <v>6278</v>
      </c>
      <c r="E1390" s="16" t="s">
        <v>6100</v>
      </c>
      <c r="F1390" s="21">
        <v>9781265649159</v>
      </c>
      <c r="G1390" s="16" t="s">
        <v>796</v>
      </c>
      <c r="H1390" s="16" t="s">
        <v>13</v>
      </c>
      <c r="I1390" s="16">
        <v>2024</v>
      </c>
      <c r="J1390" s="16" t="s">
        <v>6279</v>
      </c>
      <c r="K1390" s="16" t="s">
        <v>1117</v>
      </c>
      <c r="L1390" s="16" t="s">
        <v>15</v>
      </c>
      <c r="M1390" s="16" t="s">
        <v>6280</v>
      </c>
      <c r="N1390" s="16"/>
      <c r="O1390" s="16"/>
    </row>
    <row r="1391" spans="1:15" x14ac:dyDescent="0.3">
      <c r="A1391" s="16">
        <v>1390</v>
      </c>
      <c r="B1391" s="16" t="s">
        <v>1641</v>
      </c>
      <c r="C1391" s="16" t="str">
        <f>"YT9781265649159_41"</f>
        <v>YT9781265649159_41</v>
      </c>
      <c r="D1391" s="16" t="s">
        <v>6281</v>
      </c>
      <c r="E1391" s="16" t="s">
        <v>6100</v>
      </c>
      <c r="F1391" s="21">
        <v>9781265649159</v>
      </c>
      <c r="G1391" s="16" t="s">
        <v>796</v>
      </c>
      <c r="H1391" s="16" t="s">
        <v>13</v>
      </c>
      <c r="I1391" s="16">
        <v>2024</v>
      </c>
      <c r="J1391" s="16" t="s">
        <v>6282</v>
      </c>
      <c r="K1391" s="16" t="s">
        <v>6283</v>
      </c>
      <c r="L1391" s="16" t="s">
        <v>15</v>
      </c>
      <c r="M1391" s="16" t="s">
        <v>6284</v>
      </c>
      <c r="N1391" s="16"/>
      <c r="O1391" s="16"/>
    </row>
    <row r="1392" spans="1:15" x14ac:dyDescent="0.3">
      <c r="A1392" s="16">
        <v>1391</v>
      </c>
      <c r="B1392" s="16" t="s">
        <v>1641</v>
      </c>
      <c r="C1392" s="16" t="str">
        <f>"YT9781265649159_42"</f>
        <v>YT9781265649159_42</v>
      </c>
      <c r="D1392" s="16" t="s">
        <v>6285</v>
      </c>
      <c r="E1392" s="16" t="s">
        <v>6100</v>
      </c>
      <c r="F1392" s="21">
        <v>9781265649159</v>
      </c>
      <c r="G1392" s="16" t="s">
        <v>796</v>
      </c>
      <c r="H1392" s="16" t="s">
        <v>13</v>
      </c>
      <c r="I1392" s="16">
        <v>2024</v>
      </c>
      <c r="J1392" s="16" t="s">
        <v>6286</v>
      </c>
      <c r="K1392" s="16" t="s">
        <v>1117</v>
      </c>
      <c r="L1392" s="16" t="s">
        <v>15</v>
      </c>
      <c r="M1392" s="16" t="s">
        <v>6287</v>
      </c>
      <c r="N1392" s="16"/>
      <c r="O1392" s="16"/>
    </row>
    <row r="1393" spans="1:15" x14ac:dyDescent="0.3">
      <c r="A1393" s="16">
        <v>1392</v>
      </c>
      <c r="B1393" s="16" t="s">
        <v>1641</v>
      </c>
      <c r="C1393" s="16" t="str">
        <f>"YT9781265649159_43"</f>
        <v>YT9781265649159_43</v>
      </c>
      <c r="D1393" s="16" t="s">
        <v>6288</v>
      </c>
      <c r="E1393" s="16" t="s">
        <v>6100</v>
      </c>
      <c r="F1393" s="21">
        <v>9781265649159</v>
      </c>
      <c r="G1393" s="16" t="s">
        <v>796</v>
      </c>
      <c r="H1393" s="16" t="s">
        <v>13</v>
      </c>
      <c r="I1393" s="16">
        <v>2024</v>
      </c>
      <c r="J1393" s="16" t="s">
        <v>6289</v>
      </c>
      <c r="K1393" s="16" t="s">
        <v>3734</v>
      </c>
      <c r="L1393" s="16" t="s">
        <v>15</v>
      </c>
      <c r="M1393" s="16" t="s">
        <v>6290</v>
      </c>
      <c r="N1393" s="16"/>
      <c r="O1393" s="16"/>
    </row>
    <row r="1394" spans="1:15" x14ac:dyDescent="0.3">
      <c r="A1394" s="16">
        <v>1393</v>
      </c>
      <c r="B1394" s="16" t="s">
        <v>1641</v>
      </c>
      <c r="C1394" s="16" t="str">
        <f>"YT9781265649159_44"</f>
        <v>YT9781265649159_44</v>
      </c>
      <c r="D1394" s="16" t="s">
        <v>6291</v>
      </c>
      <c r="E1394" s="16" t="s">
        <v>6100</v>
      </c>
      <c r="F1394" s="21">
        <v>9781265649159</v>
      </c>
      <c r="G1394" s="16" t="s">
        <v>796</v>
      </c>
      <c r="H1394" s="16" t="s">
        <v>13</v>
      </c>
      <c r="I1394" s="16">
        <v>2024</v>
      </c>
      <c r="J1394" s="16" t="s">
        <v>6292</v>
      </c>
      <c r="K1394" s="16" t="s">
        <v>6293</v>
      </c>
      <c r="L1394" s="16" t="s">
        <v>15</v>
      </c>
      <c r="M1394" s="16" t="s">
        <v>6294</v>
      </c>
      <c r="N1394" s="16"/>
      <c r="O1394" s="16"/>
    </row>
    <row r="1395" spans="1:15" x14ac:dyDescent="0.3">
      <c r="A1395" s="16">
        <v>1394</v>
      </c>
      <c r="B1395" s="16" t="s">
        <v>1641</v>
      </c>
      <c r="C1395" s="16" t="str">
        <f>"YT9781265649159_45"</f>
        <v>YT9781265649159_45</v>
      </c>
      <c r="D1395" s="16" t="s">
        <v>6295</v>
      </c>
      <c r="E1395" s="16" t="s">
        <v>6100</v>
      </c>
      <c r="F1395" s="21">
        <v>9781265649159</v>
      </c>
      <c r="G1395" s="16" t="s">
        <v>796</v>
      </c>
      <c r="H1395" s="16" t="s">
        <v>13</v>
      </c>
      <c r="I1395" s="16">
        <v>2024</v>
      </c>
      <c r="J1395" s="16" t="s">
        <v>6296</v>
      </c>
      <c r="K1395" s="16" t="s">
        <v>1954</v>
      </c>
      <c r="L1395" s="16" t="s">
        <v>15</v>
      </c>
      <c r="M1395" s="16" t="s">
        <v>6297</v>
      </c>
      <c r="N1395" s="16"/>
      <c r="O1395" s="16"/>
    </row>
    <row r="1396" spans="1:15" x14ac:dyDescent="0.3">
      <c r="A1396" s="16">
        <v>1395</v>
      </c>
      <c r="B1396" s="16" t="s">
        <v>1641</v>
      </c>
      <c r="C1396" s="16" t="str">
        <f>"YT9781265649159_46"</f>
        <v>YT9781265649159_46</v>
      </c>
      <c r="D1396" s="16" t="s">
        <v>6298</v>
      </c>
      <c r="E1396" s="16" t="s">
        <v>6100</v>
      </c>
      <c r="F1396" s="21">
        <v>9781265649159</v>
      </c>
      <c r="G1396" s="16" t="s">
        <v>796</v>
      </c>
      <c r="H1396" s="16" t="s">
        <v>13</v>
      </c>
      <c r="I1396" s="16">
        <v>2024</v>
      </c>
      <c r="J1396" s="16" t="s">
        <v>6299</v>
      </c>
      <c r="K1396" s="16" t="s">
        <v>566</v>
      </c>
      <c r="L1396" s="16" t="s">
        <v>15</v>
      </c>
      <c r="M1396" s="16" t="s">
        <v>6300</v>
      </c>
      <c r="N1396" s="16"/>
      <c r="O1396" s="16"/>
    </row>
    <row r="1397" spans="1:15" x14ac:dyDescent="0.3">
      <c r="A1397" s="16">
        <v>1396</v>
      </c>
      <c r="B1397" s="16" t="s">
        <v>1641</v>
      </c>
      <c r="C1397" s="16" t="str">
        <f>"YT9781265649159_47"</f>
        <v>YT9781265649159_47</v>
      </c>
      <c r="D1397" s="16" t="s">
        <v>6301</v>
      </c>
      <c r="E1397" s="16" t="s">
        <v>6100</v>
      </c>
      <c r="F1397" s="21">
        <v>9781265649159</v>
      </c>
      <c r="G1397" s="16" t="s">
        <v>796</v>
      </c>
      <c r="H1397" s="16" t="s">
        <v>13</v>
      </c>
      <c r="I1397" s="16">
        <v>2024</v>
      </c>
      <c r="J1397" s="16" t="s">
        <v>6302</v>
      </c>
      <c r="K1397" s="16" t="s">
        <v>3509</v>
      </c>
      <c r="L1397" s="16" t="s">
        <v>15</v>
      </c>
      <c r="M1397" s="16" t="s">
        <v>6303</v>
      </c>
      <c r="N1397" s="16"/>
      <c r="O1397" s="16"/>
    </row>
    <row r="1398" spans="1:15" x14ac:dyDescent="0.3">
      <c r="A1398" s="16">
        <v>1397</v>
      </c>
      <c r="B1398" s="16" t="s">
        <v>1641</v>
      </c>
      <c r="C1398" s="16" t="str">
        <f>"YT9781265649159_48"</f>
        <v>YT9781265649159_48</v>
      </c>
      <c r="D1398" s="16" t="s">
        <v>6304</v>
      </c>
      <c r="E1398" s="16" t="s">
        <v>6100</v>
      </c>
      <c r="F1398" s="21">
        <v>9781265649159</v>
      </c>
      <c r="G1398" s="16" t="s">
        <v>796</v>
      </c>
      <c r="H1398" s="16" t="s">
        <v>13</v>
      </c>
      <c r="I1398" s="16">
        <v>2024</v>
      </c>
      <c r="J1398" s="16" t="s">
        <v>6305</v>
      </c>
      <c r="K1398" s="16" t="s">
        <v>6306</v>
      </c>
      <c r="L1398" s="16" t="s">
        <v>15</v>
      </c>
      <c r="M1398" s="16" t="s">
        <v>6307</v>
      </c>
      <c r="N1398" s="16"/>
      <c r="O1398" s="16"/>
    </row>
    <row r="1399" spans="1:15" x14ac:dyDescent="0.3">
      <c r="A1399" s="16">
        <v>1398</v>
      </c>
      <c r="B1399" s="16" t="s">
        <v>1641</v>
      </c>
      <c r="C1399" s="16" t="str">
        <f>"YT9781265649159_49"</f>
        <v>YT9781265649159_49</v>
      </c>
      <c r="D1399" s="16" t="s">
        <v>6308</v>
      </c>
      <c r="E1399" s="16" t="s">
        <v>6100</v>
      </c>
      <c r="F1399" s="21">
        <v>9781265649159</v>
      </c>
      <c r="G1399" s="16" t="s">
        <v>796</v>
      </c>
      <c r="H1399" s="16" t="s">
        <v>13</v>
      </c>
      <c r="I1399" s="16">
        <v>2024</v>
      </c>
      <c r="J1399" s="16" t="s">
        <v>6309</v>
      </c>
      <c r="K1399" s="16" t="s">
        <v>6310</v>
      </c>
      <c r="L1399" s="16" t="s">
        <v>15</v>
      </c>
      <c r="M1399" s="16" t="s">
        <v>6311</v>
      </c>
      <c r="N1399" s="16"/>
      <c r="O1399" s="16"/>
    </row>
    <row r="1400" spans="1:15" x14ac:dyDescent="0.3">
      <c r="A1400" s="16">
        <v>1399</v>
      </c>
      <c r="B1400" s="16" t="s">
        <v>1641</v>
      </c>
      <c r="C1400" s="16" t="str">
        <f>"YT9781265649159_50"</f>
        <v>YT9781265649159_50</v>
      </c>
      <c r="D1400" s="16" t="s">
        <v>6312</v>
      </c>
      <c r="E1400" s="16" t="s">
        <v>6100</v>
      </c>
      <c r="F1400" s="21">
        <v>9781265649159</v>
      </c>
      <c r="G1400" s="16" t="s">
        <v>796</v>
      </c>
      <c r="H1400" s="16" t="s">
        <v>13</v>
      </c>
      <c r="I1400" s="16">
        <v>2024</v>
      </c>
      <c r="J1400" s="16" t="s">
        <v>6313</v>
      </c>
      <c r="K1400" s="16" t="s">
        <v>6314</v>
      </c>
      <c r="L1400" s="16" t="s">
        <v>15</v>
      </c>
      <c r="M1400" s="16" t="s">
        <v>6315</v>
      </c>
      <c r="N1400" s="16"/>
      <c r="O1400" s="16"/>
    </row>
    <row r="1401" spans="1:15" x14ac:dyDescent="0.3">
      <c r="A1401" s="16">
        <v>1400</v>
      </c>
      <c r="B1401" s="16" t="s">
        <v>1641</v>
      </c>
      <c r="C1401" s="16" t="str">
        <f>"YT9781265649159_51"</f>
        <v>YT9781265649159_51</v>
      </c>
      <c r="D1401" s="16" t="s">
        <v>6316</v>
      </c>
      <c r="E1401" s="16" t="s">
        <v>6100</v>
      </c>
      <c r="F1401" s="21">
        <v>9781265649159</v>
      </c>
      <c r="G1401" s="16" t="s">
        <v>796</v>
      </c>
      <c r="H1401" s="16" t="s">
        <v>13</v>
      </c>
      <c r="I1401" s="16">
        <v>2024</v>
      </c>
      <c r="J1401" s="16" t="s">
        <v>6317</v>
      </c>
      <c r="K1401" s="16" t="s">
        <v>4130</v>
      </c>
      <c r="L1401" s="16" t="s">
        <v>15</v>
      </c>
      <c r="M1401" s="16" t="s">
        <v>6318</v>
      </c>
      <c r="N1401" s="16"/>
      <c r="O1401" s="16"/>
    </row>
    <row r="1402" spans="1:15" x14ac:dyDescent="0.3">
      <c r="A1402" s="16">
        <v>1401</v>
      </c>
      <c r="B1402" s="16" t="s">
        <v>1641</v>
      </c>
      <c r="C1402" s="16" t="str">
        <f>"YT9781265649159_53"</f>
        <v>YT9781265649159_53</v>
      </c>
      <c r="D1402" s="16" t="s">
        <v>6319</v>
      </c>
      <c r="E1402" s="16" t="s">
        <v>6100</v>
      </c>
      <c r="F1402" s="21">
        <v>9781265649159</v>
      </c>
      <c r="G1402" s="16" t="s">
        <v>796</v>
      </c>
      <c r="H1402" s="16" t="s">
        <v>13</v>
      </c>
      <c r="I1402" s="16">
        <v>2024</v>
      </c>
      <c r="J1402" s="16" t="s">
        <v>6320</v>
      </c>
      <c r="K1402" s="16" t="s">
        <v>64</v>
      </c>
      <c r="L1402" s="16" t="s">
        <v>15</v>
      </c>
      <c r="M1402" s="16" t="s">
        <v>6321</v>
      </c>
      <c r="N1402" s="16"/>
      <c r="O1402" s="16"/>
    </row>
    <row r="1403" spans="1:15" x14ac:dyDescent="0.3">
      <c r="A1403" s="16">
        <v>1402</v>
      </c>
      <c r="B1403" s="16" t="s">
        <v>1641</v>
      </c>
      <c r="C1403" s="16" t="str">
        <f>"YT9781265649159_54"</f>
        <v>YT9781265649159_54</v>
      </c>
      <c r="D1403" s="16" t="s">
        <v>6322</v>
      </c>
      <c r="E1403" s="16" t="s">
        <v>6100</v>
      </c>
      <c r="F1403" s="21">
        <v>9781265649159</v>
      </c>
      <c r="G1403" s="16" t="s">
        <v>796</v>
      </c>
      <c r="H1403" s="16" t="s">
        <v>13</v>
      </c>
      <c r="I1403" s="16">
        <v>2024</v>
      </c>
      <c r="J1403" s="16" t="s">
        <v>6323</v>
      </c>
      <c r="K1403" s="16" t="s">
        <v>6219</v>
      </c>
      <c r="L1403" s="16" t="s">
        <v>15</v>
      </c>
      <c r="M1403" s="16" t="s">
        <v>6324</v>
      </c>
      <c r="N1403" s="16"/>
      <c r="O1403" s="16"/>
    </row>
    <row r="1404" spans="1:15" x14ac:dyDescent="0.3">
      <c r="A1404" s="16">
        <v>1403</v>
      </c>
      <c r="B1404" s="16" t="s">
        <v>1641</v>
      </c>
      <c r="C1404" s="16" t="str">
        <f>"YT9781265649159_55"</f>
        <v>YT9781265649159_55</v>
      </c>
      <c r="D1404" s="16" t="s">
        <v>6325</v>
      </c>
      <c r="E1404" s="16" t="s">
        <v>6100</v>
      </c>
      <c r="F1404" s="21">
        <v>9781265649159</v>
      </c>
      <c r="G1404" s="16" t="s">
        <v>796</v>
      </c>
      <c r="H1404" s="16" t="s">
        <v>13</v>
      </c>
      <c r="I1404" s="16">
        <v>2024</v>
      </c>
      <c r="J1404" s="16" t="s">
        <v>6326</v>
      </c>
      <c r="K1404" s="16" t="s">
        <v>4130</v>
      </c>
      <c r="L1404" s="16" t="s">
        <v>15</v>
      </c>
      <c r="M1404" s="16" t="s">
        <v>6327</v>
      </c>
      <c r="N1404" s="16"/>
      <c r="O1404" s="16"/>
    </row>
    <row r="1405" spans="1:15" x14ac:dyDescent="0.3">
      <c r="A1405" s="16">
        <v>1404</v>
      </c>
      <c r="B1405" s="16" t="s">
        <v>1641</v>
      </c>
      <c r="C1405" s="16" t="str">
        <f>"YT9781265649159_56"</f>
        <v>YT9781265649159_56</v>
      </c>
      <c r="D1405" s="16" t="s">
        <v>6328</v>
      </c>
      <c r="E1405" s="16" t="s">
        <v>6100</v>
      </c>
      <c r="F1405" s="21">
        <v>9781265649159</v>
      </c>
      <c r="G1405" s="16" t="s">
        <v>796</v>
      </c>
      <c r="H1405" s="16" t="s">
        <v>13</v>
      </c>
      <c r="I1405" s="16">
        <v>2024</v>
      </c>
      <c r="J1405" s="16" t="s">
        <v>6329</v>
      </c>
      <c r="K1405" s="16" t="s">
        <v>6330</v>
      </c>
      <c r="L1405" s="16" t="s">
        <v>15</v>
      </c>
      <c r="M1405" s="16" t="s">
        <v>6331</v>
      </c>
      <c r="N1405" s="16"/>
      <c r="O1405" s="16"/>
    </row>
    <row r="1406" spans="1:15" x14ac:dyDescent="0.3">
      <c r="A1406" s="16">
        <v>1405</v>
      </c>
      <c r="B1406" s="16" t="s">
        <v>1641</v>
      </c>
      <c r="C1406" s="16" t="str">
        <f>"YT9781265649159_57"</f>
        <v>YT9781265649159_57</v>
      </c>
      <c r="D1406" s="16" t="s">
        <v>6332</v>
      </c>
      <c r="E1406" s="16" t="s">
        <v>6100</v>
      </c>
      <c r="F1406" s="21">
        <v>9781265649159</v>
      </c>
      <c r="G1406" s="16" t="s">
        <v>796</v>
      </c>
      <c r="H1406" s="16" t="s">
        <v>13</v>
      </c>
      <c r="I1406" s="16">
        <v>2024</v>
      </c>
      <c r="J1406" s="16" t="s">
        <v>6333</v>
      </c>
      <c r="K1406" s="16" t="s">
        <v>1954</v>
      </c>
      <c r="L1406" s="16" t="s">
        <v>15</v>
      </c>
      <c r="M1406" s="16" t="s">
        <v>6334</v>
      </c>
      <c r="N1406" s="16"/>
      <c r="O1406" s="16"/>
    </row>
    <row r="1407" spans="1:15" x14ac:dyDescent="0.3">
      <c r="A1407" s="16">
        <v>1406</v>
      </c>
      <c r="B1407" s="16" t="s">
        <v>1641</v>
      </c>
      <c r="C1407" s="16" t="str">
        <f>"YT9781265649159_58"</f>
        <v>YT9781265649159_58</v>
      </c>
      <c r="D1407" s="16" t="s">
        <v>6335</v>
      </c>
      <c r="E1407" s="16" t="s">
        <v>6100</v>
      </c>
      <c r="F1407" s="21">
        <v>9781265649159</v>
      </c>
      <c r="G1407" s="16" t="s">
        <v>796</v>
      </c>
      <c r="H1407" s="16" t="s">
        <v>13</v>
      </c>
      <c r="I1407" s="16">
        <v>2024</v>
      </c>
      <c r="J1407" s="16" t="s">
        <v>6336</v>
      </c>
      <c r="K1407" s="16" t="s">
        <v>64</v>
      </c>
      <c r="L1407" s="16" t="s">
        <v>15</v>
      </c>
      <c r="M1407" s="16" t="s">
        <v>6337</v>
      </c>
      <c r="N1407" s="16"/>
      <c r="O1407" s="16"/>
    </row>
    <row r="1408" spans="1:15" x14ac:dyDescent="0.3">
      <c r="A1408" s="16">
        <v>1407</v>
      </c>
      <c r="B1408" s="16" t="s">
        <v>1641</v>
      </c>
      <c r="C1408" s="16" t="str">
        <f>"YT9781265649159_59"</f>
        <v>YT9781265649159_59</v>
      </c>
      <c r="D1408" s="16" t="s">
        <v>6338</v>
      </c>
      <c r="E1408" s="16" t="s">
        <v>6100</v>
      </c>
      <c r="F1408" s="21">
        <v>9781265649159</v>
      </c>
      <c r="G1408" s="16" t="s">
        <v>796</v>
      </c>
      <c r="H1408" s="16" t="s">
        <v>13</v>
      </c>
      <c r="I1408" s="16">
        <v>2024</v>
      </c>
      <c r="J1408" s="16" t="s">
        <v>6339</v>
      </c>
      <c r="K1408" s="16" t="s">
        <v>64</v>
      </c>
      <c r="L1408" s="16" t="s">
        <v>15</v>
      </c>
      <c r="M1408" s="16" t="s">
        <v>6340</v>
      </c>
      <c r="N1408" s="16"/>
      <c r="O1408" s="16"/>
    </row>
    <row r="1409" spans="1:15" x14ac:dyDescent="0.3">
      <c r="A1409" s="16">
        <v>1408</v>
      </c>
      <c r="B1409" s="16" t="s">
        <v>1641</v>
      </c>
      <c r="C1409" s="16" t="str">
        <f>"YT9781265649159_60"</f>
        <v>YT9781265649159_60</v>
      </c>
      <c r="D1409" s="16" t="s">
        <v>6341</v>
      </c>
      <c r="E1409" s="16" t="s">
        <v>6100</v>
      </c>
      <c r="F1409" s="21">
        <v>9781265649159</v>
      </c>
      <c r="G1409" s="16" t="s">
        <v>796</v>
      </c>
      <c r="H1409" s="16" t="s">
        <v>13</v>
      </c>
      <c r="I1409" s="16">
        <v>2024</v>
      </c>
      <c r="J1409" s="16" t="s">
        <v>6342</v>
      </c>
      <c r="K1409" s="16" t="s">
        <v>64</v>
      </c>
      <c r="L1409" s="16" t="s">
        <v>15</v>
      </c>
      <c r="M1409" s="16" t="s">
        <v>6343</v>
      </c>
      <c r="N1409" s="16"/>
      <c r="O1409" s="16"/>
    </row>
    <row r="1410" spans="1:15" x14ac:dyDescent="0.3">
      <c r="A1410" s="16">
        <v>1409</v>
      </c>
      <c r="B1410" s="16" t="s">
        <v>1641</v>
      </c>
      <c r="C1410" s="16" t="str">
        <f>"YT9781265649159_61"</f>
        <v>YT9781265649159_61</v>
      </c>
      <c r="D1410" s="16" t="s">
        <v>6344</v>
      </c>
      <c r="E1410" s="16" t="s">
        <v>6100</v>
      </c>
      <c r="F1410" s="21">
        <v>9781265649159</v>
      </c>
      <c r="G1410" s="16" t="s">
        <v>796</v>
      </c>
      <c r="H1410" s="16" t="s">
        <v>13</v>
      </c>
      <c r="I1410" s="16">
        <v>2024</v>
      </c>
      <c r="J1410" s="16" t="s">
        <v>6345</v>
      </c>
      <c r="K1410" s="16" t="s">
        <v>1617</v>
      </c>
      <c r="L1410" s="16" t="s">
        <v>15</v>
      </c>
      <c r="M1410" s="16" t="s">
        <v>6346</v>
      </c>
      <c r="N1410" s="16"/>
      <c r="O1410" s="16"/>
    </row>
    <row r="1411" spans="1:15" x14ac:dyDescent="0.3">
      <c r="A1411" s="16">
        <v>1410</v>
      </c>
      <c r="B1411" s="16" t="s">
        <v>1641</v>
      </c>
      <c r="C1411" s="16" t="str">
        <f>"YT9781265649159_62"</f>
        <v>YT9781265649159_62</v>
      </c>
      <c r="D1411" s="16" t="s">
        <v>6347</v>
      </c>
      <c r="E1411" s="16" t="s">
        <v>6100</v>
      </c>
      <c r="F1411" s="21">
        <v>9781265649159</v>
      </c>
      <c r="G1411" s="16" t="s">
        <v>796</v>
      </c>
      <c r="H1411" s="16" t="s">
        <v>13</v>
      </c>
      <c r="I1411" s="16">
        <v>2024</v>
      </c>
      <c r="J1411" s="16" t="s">
        <v>6348</v>
      </c>
      <c r="K1411" s="16" t="s">
        <v>64</v>
      </c>
      <c r="L1411" s="16" t="s">
        <v>15</v>
      </c>
      <c r="M1411" s="16" t="s">
        <v>6349</v>
      </c>
      <c r="N1411" s="16"/>
      <c r="O1411" s="16"/>
    </row>
    <row r="1412" spans="1:15" x14ac:dyDescent="0.3">
      <c r="A1412" s="16">
        <v>1411</v>
      </c>
      <c r="B1412" s="16" t="s">
        <v>1641</v>
      </c>
      <c r="C1412" s="16" t="str">
        <f>"YT9781265649159_63"</f>
        <v>YT9781265649159_63</v>
      </c>
      <c r="D1412" s="16" t="s">
        <v>6350</v>
      </c>
      <c r="E1412" s="16" t="s">
        <v>6100</v>
      </c>
      <c r="F1412" s="21">
        <v>9781265649159</v>
      </c>
      <c r="G1412" s="16" t="s">
        <v>796</v>
      </c>
      <c r="H1412" s="16" t="s">
        <v>13</v>
      </c>
      <c r="I1412" s="16">
        <v>2024</v>
      </c>
      <c r="J1412" s="16" t="s">
        <v>6351</v>
      </c>
      <c r="K1412" s="16" t="s">
        <v>1617</v>
      </c>
      <c r="L1412" s="16" t="s">
        <v>15</v>
      </c>
      <c r="M1412" s="16" t="s">
        <v>6352</v>
      </c>
      <c r="N1412" s="16"/>
      <c r="O1412" s="16"/>
    </row>
    <row r="1413" spans="1:15" x14ac:dyDescent="0.3">
      <c r="A1413" s="16">
        <v>1412</v>
      </c>
      <c r="B1413" s="16" t="s">
        <v>1641</v>
      </c>
      <c r="C1413" s="16" t="str">
        <f>"YT9781265649159_64"</f>
        <v>YT9781265649159_64</v>
      </c>
      <c r="D1413" s="16" t="s">
        <v>6353</v>
      </c>
      <c r="E1413" s="16" t="s">
        <v>6100</v>
      </c>
      <c r="F1413" s="21">
        <v>9781265649159</v>
      </c>
      <c r="G1413" s="16" t="s">
        <v>796</v>
      </c>
      <c r="H1413" s="16" t="s">
        <v>13</v>
      </c>
      <c r="I1413" s="16">
        <v>2024</v>
      </c>
      <c r="J1413" s="16" t="s">
        <v>6354</v>
      </c>
      <c r="K1413" s="16" t="s">
        <v>4287</v>
      </c>
      <c r="L1413" s="16" t="s">
        <v>15</v>
      </c>
      <c r="M1413" s="16" t="s">
        <v>6355</v>
      </c>
      <c r="N1413" s="16"/>
      <c r="O1413" s="16"/>
    </row>
    <row r="1414" spans="1:15" x14ac:dyDescent="0.3">
      <c r="A1414" s="16">
        <v>1413</v>
      </c>
      <c r="B1414" s="16" t="s">
        <v>1641</v>
      </c>
      <c r="C1414" s="16" t="str">
        <f>"YT9781265649159_65"</f>
        <v>YT9781265649159_65</v>
      </c>
      <c r="D1414" s="16" t="s">
        <v>6356</v>
      </c>
      <c r="E1414" s="16" t="s">
        <v>6100</v>
      </c>
      <c r="F1414" s="21">
        <v>9781265649159</v>
      </c>
      <c r="G1414" s="16" t="s">
        <v>796</v>
      </c>
      <c r="H1414" s="16" t="s">
        <v>13</v>
      </c>
      <c r="I1414" s="16">
        <v>2024</v>
      </c>
      <c r="J1414" s="16" t="s">
        <v>6357</v>
      </c>
      <c r="K1414" s="16" t="s">
        <v>64</v>
      </c>
      <c r="L1414" s="16" t="s">
        <v>15</v>
      </c>
      <c r="M1414" s="16" t="s">
        <v>6358</v>
      </c>
      <c r="N1414" s="16"/>
      <c r="O1414" s="16"/>
    </row>
    <row r="1415" spans="1:15" x14ac:dyDescent="0.3">
      <c r="A1415" s="16">
        <v>1414</v>
      </c>
      <c r="B1415" s="16" t="s">
        <v>1641</v>
      </c>
      <c r="C1415" s="16" t="str">
        <f>"YT9781265649159_66"</f>
        <v>YT9781265649159_66</v>
      </c>
      <c r="D1415" s="16" t="s">
        <v>6359</v>
      </c>
      <c r="E1415" s="16" t="s">
        <v>6100</v>
      </c>
      <c r="F1415" s="21">
        <v>9781265649159</v>
      </c>
      <c r="G1415" s="16" t="s">
        <v>796</v>
      </c>
      <c r="H1415" s="16" t="s">
        <v>13</v>
      </c>
      <c r="I1415" s="16">
        <v>2024</v>
      </c>
      <c r="J1415" s="16" t="s">
        <v>6360</v>
      </c>
      <c r="K1415" s="16" t="s">
        <v>526</v>
      </c>
      <c r="L1415" s="16" t="s">
        <v>15</v>
      </c>
      <c r="M1415" s="16" t="s">
        <v>6361</v>
      </c>
      <c r="N1415" s="16"/>
      <c r="O1415" s="16"/>
    </row>
    <row r="1416" spans="1:15" x14ac:dyDescent="0.3">
      <c r="A1416" s="16">
        <v>1415</v>
      </c>
      <c r="B1416" s="16" t="s">
        <v>1641</v>
      </c>
      <c r="C1416" s="16" t="str">
        <f>"YT9781265649159_67"</f>
        <v>YT9781265649159_67</v>
      </c>
      <c r="D1416" s="16" t="s">
        <v>6362</v>
      </c>
      <c r="E1416" s="16" t="s">
        <v>6100</v>
      </c>
      <c r="F1416" s="21">
        <v>9781265649159</v>
      </c>
      <c r="G1416" s="16" t="s">
        <v>796</v>
      </c>
      <c r="H1416" s="16" t="s">
        <v>13</v>
      </c>
      <c r="I1416" s="16">
        <v>2024</v>
      </c>
      <c r="J1416" s="16" t="s">
        <v>6363</v>
      </c>
      <c r="K1416" s="16" t="s">
        <v>5517</v>
      </c>
      <c r="L1416" s="16" t="s">
        <v>15</v>
      </c>
      <c r="M1416" s="16" t="s">
        <v>6364</v>
      </c>
      <c r="N1416" s="16"/>
      <c r="O1416" s="16"/>
    </row>
    <row r="1417" spans="1:15" x14ac:dyDescent="0.3">
      <c r="A1417" s="16">
        <v>1416</v>
      </c>
      <c r="B1417" s="16" t="s">
        <v>1641</v>
      </c>
      <c r="C1417" s="16" t="str">
        <f>"YT9781265649159_68"</f>
        <v>YT9781265649159_68</v>
      </c>
      <c r="D1417" s="16" t="s">
        <v>6365</v>
      </c>
      <c r="E1417" s="16" t="s">
        <v>6100</v>
      </c>
      <c r="F1417" s="21">
        <v>9781265649159</v>
      </c>
      <c r="G1417" s="16" t="s">
        <v>796</v>
      </c>
      <c r="H1417" s="16" t="s">
        <v>13</v>
      </c>
      <c r="I1417" s="16">
        <v>2024</v>
      </c>
      <c r="J1417" s="16" t="s">
        <v>6366</v>
      </c>
      <c r="K1417" s="16" t="s">
        <v>64</v>
      </c>
      <c r="L1417" s="16" t="s">
        <v>15</v>
      </c>
      <c r="M1417" s="16" t="s">
        <v>6367</v>
      </c>
      <c r="N1417" s="16"/>
      <c r="O1417" s="16"/>
    </row>
    <row r="1418" spans="1:15" x14ac:dyDescent="0.3">
      <c r="A1418" s="16">
        <v>1417</v>
      </c>
      <c r="B1418" s="16" t="s">
        <v>1641</v>
      </c>
      <c r="C1418" s="16" t="str">
        <f>"YT9781265649159_69"</f>
        <v>YT9781265649159_69</v>
      </c>
      <c r="D1418" s="16" t="s">
        <v>6368</v>
      </c>
      <c r="E1418" s="16" t="s">
        <v>6100</v>
      </c>
      <c r="F1418" s="21">
        <v>9781265649159</v>
      </c>
      <c r="G1418" s="16" t="s">
        <v>796</v>
      </c>
      <c r="H1418" s="16" t="s">
        <v>13</v>
      </c>
      <c r="I1418" s="16">
        <v>2024</v>
      </c>
      <c r="J1418" s="16" t="s">
        <v>6369</v>
      </c>
      <c r="K1418" s="16" t="s">
        <v>2001</v>
      </c>
      <c r="L1418" s="16" t="s">
        <v>15</v>
      </c>
      <c r="M1418" s="16" t="s">
        <v>6370</v>
      </c>
      <c r="N1418" s="16"/>
      <c r="O1418" s="16"/>
    </row>
    <row r="1419" spans="1:15" x14ac:dyDescent="0.3">
      <c r="A1419" s="16">
        <v>1418</v>
      </c>
      <c r="B1419" s="16" t="s">
        <v>1641</v>
      </c>
      <c r="C1419" s="16" t="str">
        <f>"YT9781265649159_70"</f>
        <v>YT9781265649159_70</v>
      </c>
      <c r="D1419" s="16" t="s">
        <v>6371</v>
      </c>
      <c r="E1419" s="16" t="s">
        <v>6100</v>
      </c>
      <c r="F1419" s="21">
        <v>9781265649159</v>
      </c>
      <c r="G1419" s="16" t="s">
        <v>796</v>
      </c>
      <c r="H1419" s="16" t="s">
        <v>13</v>
      </c>
      <c r="I1419" s="16">
        <v>2024</v>
      </c>
      <c r="J1419" s="16" t="s">
        <v>6372</v>
      </c>
      <c r="K1419" s="16" t="s">
        <v>6373</v>
      </c>
      <c r="L1419" s="16" t="s">
        <v>15</v>
      </c>
      <c r="M1419" s="16" t="s">
        <v>6374</v>
      </c>
      <c r="N1419" s="16"/>
      <c r="O1419" s="16"/>
    </row>
    <row r="1420" spans="1:15" x14ac:dyDescent="0.3">
      <c r="A1420" s="16">
        <v>1419</v>
      </c>
      <c r="B1420" s="16" t="s">
        <v>1641</v>
      </c>
      <c r="C1420" s="16" t="str">
        <f>"YT9781265649159_71"</f>
        <v>YT9781265649159_71</v>
      </c>
      <c r="D1420" s="16" t="s">
        <v>6375</v>
      </c>
      <c r="E1420" s="16" t="s">
        <v>6100</v>
      </c>
      <c r="F1420" s="21">
        <v>9781265649159</v>
      </c>
      <c r="G1420" s="16" t="s">
        <v>796</v>
      </c>
      <c r="H1420" s="16" t="s">
        <v>13</v>
      </c>
      <c r="I1420" s="16">
        <v>2024</v>
      </c>
      <c r="J1420" s="16" t="s">
        <v>6376</v>
      </c>
      <c r="K1420" s="16" t="s">
        <v>1617</v>
      </c>
      <c r="L1420" s="16" t="s">
        <v>15</v>
      </c>
      <c r="M1420" s="16" t="s">
        <v>6377</v>
      </c>
      <c r="N1420" s="16"/>
      <c r="O1420" s="16"/>
    </row>
    <row r="1421" spans="1:15" x14ac:dyDescent="0.3">
      <c r="A1421" s="16">
        <v>1420</v>
      </c>
      <c r="B1421" s="16" t="s">
        <v>1641</v>
      </c>
      <c r="C1421" s="16" t="str">
        <f>"YT9781265649159_72"</f>
        <v>YT9781265649159_72</v>
      </c>
      <c r="D1421" s="16" t="s">
        <v>6378</v>
      </c>
      <c r="E1421" s="16" t="s">
        <v>6100</v>
      </c>
      <c r="F1421" s="21">
        <v>9781265649159</v>
      </c>
      <c r="G1421" s="16" t="s">
        <v>796</v>
      </c>
      <c r="H1421" s="16" t="s">
        <v>13</v>
      </c>
      <c r="I1421" s="16">
        <v>2024</v>
      </c>
      <c r="J1421" s="16" t="s">
        <v>6379</v>
      </c>
      <c r="K1421" s="16" t="s">
        <v>1117</v>
      </c>
      <c r="L1421" s="16" t="s">
        <v>15</v>
      </c>
      <c r="M1421" s="16" t="s">
        <v>6380</v>
      </c>
      <c r="N1421" s="16"/>
      <c r="O1421" s="16"/>
    </row>
    <row r="1422" spans="1:15" x14ac:dyDescent="0.3">
      <c r="A1422" s="16">
        <v>1421</v>
      </c>
      <c r="B1422" s="16" t="s">
        <v>1641</v>
      </c>
      <c r="C1422" s="16" t="str">
        <f>"YT9781265649159_73"</f>
        <v>YT9781265649159_73</v>
      </c>
      <c r="D1422" s="16" t="s">
        <v>6381</v>
      </c>
      <c r="E1422" s="16" t="s">
        <v>6100</v>
      </c>
      <c r="F1422" s="21">
        <v>9781265649159</v>
      </c>
      <c r="G1422" s="16" t="s">
        <v>796</v>
      </c>
      <c r="H1422" s="16" t="s">
        <v>13</v>
      </c>
      <c r="I1422" s="16">
        <v>2024</v>
      </c>
      <c r="J1422" s="16" t="s">
        <v>6382</v>
      </c>
      <c r="K1422" s="16" t="s">
        <v>1117</v>
      </c>
      <c r="L1422" s="16" t="s">
        <v>15</v>
      </c>
      <c r="M1422" s="16" t="s">
        <v>6383</v>
      </c>
      <c r="N1422" s="16"/>
      <c r="O1422" s="16"/>
    </row>
    <row r="1423" spans="1:15" x14ac:dyDescent="0.3">
      <c r="A1423" s="16">
        <v>1422</v>
      </c>
      <c r="B1423" s="16" t="s">
        <v>1641</v>
      </c>
      <c r="C1423" s="16" t="str">
        <f>"YT9781265649159_74"</f>
        <v>YT9781265649159_74</v>
      </c>
      <c r="D1423" s="16" t="s">
        <v>6384</v>
      </c>
      <c r="E1423" s="16" t="s">
        <v>6100</v>
      </c>
      <c r="F1423" s="21">
        <v>9781265649159</v>
      </c>
      <c r="G1423" s="16" t="s">
        <v>796</v>
      </c>
      <c r="H1423" s="16" t="s">
        <v>13</v>
      </c>
      <c r="I1423" s="16">
        <v>2024</v>
      </c>
      <c r="J1423" s="16" t="s">
        <v>6385</v>
      </c>
      <c r="K1423" s="16" t="s">
        <v>64</v>
      </c>
      <c r="L1423" s="16" t="s">
        <v>15</v>
      </c>
      <c r="M1423" s="16" t="s">
        <v>6386</v>
      </c>
      <c r="N1423" s="16"/>
      <c r="O1423" s="16"/>
    </row>
    <row r="1424" spans="1:15" x14ac:dyDescent="0.3">
      <c r="A1424" s="16">
        <v>1423</v>
      </c>
      <c r="B1424" s="16" t="s">
        <v>1641</v>
      </c>
      <c r="C1424" s="16" t="str">
        <f>"YT9781265649159_75"</f>
        <v>YT9781265649159_75</v>
      </c>
      <c r="D1424" s="16" t="s">
        <v>6387</v>
      </c>
      <c r="E1424" s="16" t="s">
        <v>6100</v>
      </c>
      <c r="F1424" s="21">
        <v>9781265649159</v>
      </c>
      <c r="G1424" s="16" t="s">
        <v>796</v>
      </c>
      <c r="H1424" s="16" t="s">
        <v>13</v>
      </c>
      <c r="I1424" s="16">
        <v>2024</v>
      </c>
      <c r="J1424" s="16" t="s">
        <v>6388</v>
      </c>
      <c r="K1424" s="16" t="s">
        <v>6389</v>
      </c>
      <c r="L1424" s="16" t="s">
        <v>15</v>
      </c>
      <c r="M1424" s="16" t="s">
        <v>6390</v>
      </c>
      <c r="N1424" s="16"/>
      <c r="O1424" s="16"/>
    </row>
    <row r="1425" spans="1:15" x14ac:dyDescent="0.3">
      <c r="A1425" s="16">
        <v>1424</v>
      </c>
      <c r="B1425" s="16" t="s">
        <v>1641</v>
      </c>
      <c r="C1425" s="16" t="str">
        <f>"YT9781265649159_76"</f>
        <v>YT9781265649159_76</v>
      </c>
      <c r="D1425" s="16" t="s">
        <v>6391</v>
      </c>
      <c r="E1425" s="16" t="s">
        <v>6100</v>
      </c>
      <c r="F1425" s="21">
        <v>9781265649159</v>
      </c>
      <c r="G1425" s="16" t="s">
        <v>796</v>
      </c>
      <c r="H1425" s="16" t="s">
        <v>13</v>
      </c>
      <c r="I1425" s="16">
        <v>2024</v>
      </c>
      <c r="J1425" s="16" t="s">
        <v>6392</v>
      </c>
      <c r="K1425" s="16" t="s">
        <v>6389</v>
      </c>
      <c r="L1425" s="16" t="s">
        <v>15</v>
      </c>
      <c r="M1425" s="16" t="s">
        <v>6393</v>
      </c>
      <c r="N1425" s="16"/>
      <c r="O1425" s="16"/>
    </row>
    <row r="1426" spans="1:15" x14ac:dyDescent="0.3">
      <c r="A1426" s="16">
        <v>1425</v>
      </c>
      <c r="B1426" s="16" t="s">
        <v>1641</v>
      </c>
      <c r="C1426" s="16" t="str">
        <f>"YT9781265649159_77"</f>
        <v>YT9781265649159_77</v>
      </c>
      <c r="D1426" s="16" t="s">
        <v>6394</v>
      </c>
      <c r="E1426" s="16" t="s">
        <v>6100</v>
      </c>
      <c r="F1426" s="21">
        <v>9781265649159</v>
      </c>
      <c r="G1426" s="16" t="s">
        <v>796</v>
      </c>
      <c r="H1426" s="16" t="s">
        <v>13</v>
      </c>
      <c r="I1426" s="16">
        <v>2024</v>
      </c>
      <c r="J1426" s="16" t="s">
        <v>6395</v>
      </c>
      <c r="K1426" s="16" t="s">
        <v>6396</v>
      </c>
      <c r="L1426" s="16" t="s">
        <v>15</v>
      </c>
      <c r="M1426" s="16" t="s">
        <v>6397</v>
      </c>
      <c r="N1426" s="16"/>
      <c r="O1426" s="16"/>
    </row>
    <row r="1427" spans="1:15" x14ac:dyDescent="0.3">
      <c r="A1427" s="16">
        <v>1426</v>
      </c>
      <c r="B1427" s="16" t="s">
        <v>1641</v>
      </c>
      <c r="C1427" s="16" t="str">
        <f>"YT9781265649159_78"</f>
        <v>YT9781265649159_78</v>
      </c>
      <c r="D1427" s="16" t="s">
        <v>6398</v>
      </c>
      <c r="E1427" s="16" t="s">
        <v>6100</v>
      </c>
      <c r="F1427" s="21">
        <v>9781265649159</v>
      </c>
      <c r="G1427" s="16" t="s">
        <v>796</v>
      </c>
      <c r="H1427" s="16" t="s">
        <v>13</v>
      </c>
      <c r="I1427" s="16">
        <v>2024</v>
      </c>
      <c r="J1427" s="16" t="s">
        <v>6399</v>
      </c>
      <c r="K1427" s="16" t="s">
        <v>6389</v>
      </c>
      <c r="L1427" s="16" t="s">
        <v>15</v>
      </c>
      <c r="M1427" s="16" t="s">
        <v>6400</v>
      </c>
      <c r="N1427" s="16"/>
      <c r="O1427" s="16"/>
    </row>
    <row r="1428" spans="1:15" x14ac:dyDescent="0.3">
      <c r="A1428" s="16">
        <v>1427</v>
      </c>
      <c r="B1428" s="16" t="s">
        <v>1641</v>
      </c>
      <c r="C1428" s="16" t="str">
        <f>"YT9781265649159_79"</f>
        <v>YT9781265649159_79</v>
      </c>
      <c r="D1428" s="16" t="s">
        <v>6401</v>
      </c>
      <c r="E1428" s="16" t="s">
        <v>6100</v>
      </c>
      <c r="F1428" s="21">
        <v>9781265649159</v>
      </c>
      <c r="G1428" s="16" t="s">
        <v>796</v>
      </c>
      <c r="H1428" s="16" t="s">
        <v>13</v>
      </c>
      <c r="I1428" s="16">
        <v>2024</v>
      </c>
      <c r="J1428" s="16" t="s">
        <v>6402</v>
      </c>
      <c r="K1428" s="16" t="s">
        <v>5123</v>
      </c>
      <c r="L1428" s="16" t="s">
        <v>15</v>
      </c>
      <c r="M1428" s="16" t="s">
        <v>6403</v>
      </c>
      <c r="N1428" s="16"/>
      <c r="O1428" s="16"/>
    </row>
    <row r="1429" spans="1:15" x14ac:dyDescent="0.3">
      <c r="A1429" s="16">
        <v>1428</v>
      </c>
      <c r="B1429" s="16" t="s">
        <v>1641</v>
      </c>
      <c r="C1429" s="16" t="str">
        <f>"YT9781265649159_80"</f>
        <v>YT9781265649159_80</v>
      </c>
      <c r="D1429" s="16" t="s">
        <v>6404</v>
      </c>
      <c r="E1429" s="16" t="s">
        <v>6100</v>
      </c>
      <c r="F1429" s="21">
        <v>9781265649159</v>
      </c>
      <c r="G1429" s="16" t="s">
        <v>796</v>
      </c>
      <c r="H1429" s="16" t="s">
        <v>13</v>
      </c>
      <c r="I1429" s="16">
        <v>2024</v>
      </c>
      <c r="J1429" s="16" t="s">
        <v>6405</v>
      </c>
      <c r="K1429" s="16" t="s">
        <v>64</v>
      </c>
      <c r="L1429" s="16" t="s">
        <v>15</v>
      </c>
      <c r="M1429" s="16" t="s">
        <v>6406</v>
      </c>
      <c r="N1429" s="16"/>
      <c r="O1429" s="16"/>
    </row>
    <row r="1430" spans="1:15" x14ac:dyDescent="0.3">
      <c r="A1430" s="16">
        <v>1429</v>
      </c>
      <c r="B1430" s="16" t="s">
        <v>1641</v>
      </c>
      <c r="C1430" s="16" t="str">
        <f>"YT9781265649159_83"</f>
        <v>YT9781265649159_83</v>
      </c>
      <c r="D1430" s="16" t="s">
        <v>6407</v>
      </c>
      <c r="E1430" s="16" t="s">
        <v>6100</v>
      </c>
      <c r="F1430" s="21">
        <v>9781265649159</v>
      </c>
      <c r="G1430" s="16" t="s">
        <v>796</v>
      </c>
      <c r="H1430" s="16" t="s">
        <v>13</v>
      </c>
      <c r="I1430" s="16">
        <v>2024</v>
      </c>
      <c r="J1430" s="16" t="s">
        <v>6408</v>
      </c>
      <c r="K1430" s="16" t="s">
        <v>1617</v>
      </c>
      <c r="L1430" s="16" t="s">
        <v>15</v>
      </c>
      <c r="M1430" s="16" t="s">
        <v>6409</v>
      </c>
      <c r="N1430" s="16"/>
      <c r="O1430" s="16"/>
    </row>
    <row r="1431" spans="1:15" x14ac:dyDescent="0.3">
      <c r="A1431" s="16">
        <v>1430</v>
      </c>
      <c r="B1431" s="16" t="s">
        <v>1641</v>
      </c>
      <c r="C1431" s="16" t="str">
        <f>"YT9781265649159_84"</f>
        <v>YT9781265649159_84</v>
      </c>
      <c r="D1431" s="16" t="s">
        <v>6410</v>
      </c>
      <c r="E1431" s="16" t="s">
        <v>6100</v>
      </c>
      <c r="F1431" s="21">
        <v>9781265649159</v>
      </c>
      <c r="G1431" s="16" t="s">
        <v>796</v>
      </c>
      <c r="H1431" s="16" t="s">
        <v>13</v>
      </c>
      <c r="I1431" s="16">
        <v>2024</v>
      </c>
      <c r="J1431" s="16" t="s">
        <v>6411</v>
      </c>
      <c r="K1431" s="16" t="s">
        <v>4130</v>
      </c>
      <c r="L1431" s="16" t="s">
        <v>15</v>
      </c>
      <c r="M1431" s="16" t="s">
        <v>6412</v>
      </c>
      <c r="N1431" s="16"/>
      <c r="O1431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11DB4-1252-4579-B912-A137E35BC1AA}">
  <dimension ref="A1:M91"/>
  <sheetViews>
    <sheetView workbookViewId="0">
      <selection activeCell="D96" sqref="D96"/>
    </sheetView>
  </sheetViews>
  <sheetFormatPr defaultRowHeight="14.4" x14ac:dyDescent="0.3"/>
  <cols>
    <col min="1" max="1" width="4.21875" customWidth="1"/>
    <col min="2" max="2" width="12.77734375" customWidth="1"/>
    <col min="3" max="3" width="18.21875" customWidth="1"/>
    <col min="4" max="4" width="43.21875" customWidth="1"/>
    <col min="6" max="6" width="18.33203125" customWidth="1"/>
    <col min="7" max="7" width="16.77734375" customWidth="1"/>
    <col min="8" max="8" width="18.88671875" customWidth="1"/>
    <col min="11" max="11" width="101.77734375" customWidth="1"/>
  </cols>
  <sheetData>
    <row r="1" spans="1:13" s="10" customFormat="1" ht="39.6" customHeight="1" x14ac:dyDescent="0.3">
      <c r="A1" s="15"/>
      <c r="B1" s="15" t="s">
        <v>0</v>
      </c>
      <c r="C1" s="15" t="s">
        <v>1</v>
      </c>
      <c r="D1" s="15" t="s">
        <v>2</v>
      </c>
      <c r="E1" s="15" t="s">
        <v>4</v>
      </c>
      <c r="F1" s="15" t="s">
        <v>5</v>
      </c>
      <c r="G1" s="15" t="s">
        <v>7</v>
      </c>
      <c r="H1" s="15" t="s">
        <v>8</v>
      </c>
      <c r="I1" s="15" t="s">
        <v>9</v>
      </c>
      <c r="J1" s="15"/>
      <c r="K1" s="15" t="s">
        <v>11</v>
      </c>
      <c r="M1" s="10" t="s">
        <v>12</v>
      </c>
    </row>
    <row r="2" spans="1:13" x14ac:dyDescent="0.3">
      <c r="A2" s="16">
        <v>1</v>
      </c>
      <c r="B2" s="16" t="s">
        <v>6414</v>
      </c>
      <c r="C2" s="16" t="str">
        <f>"S0001_Activated_Sludge_Aeration_Tank_Calculations"</f>
        <v>S0001_Activated_Sludge_Aeration_Tank_Calculations</v>
      </c>
      <c r="D2" s="16" t="s">
        <v>6415</v>
      </c>
      <c r="E2" s="16" t="s">
        <v>6416</v>
      </c>
      <c r="F2" s="16" t="s">
        <v>13</v>
      </c>
      <c r="G2" s="23">
        <v>43482</v>
      </c>
      <c r="H2" s="16" t="s">
        <v>6417</v>
      </c>
      <c r="I2" s="16" t="s">
        <v>6418</v>
      </c>
      <c r="J2" s="16" t="s">
        <v>15</v>
      </c>
      <c r="K2" s="24" t="s">
        <v>6419</v>
      </c>
    </row>
    <row r="3" spans="1:13" x14ac:dyDescent="0.3">
      <c r="A3" s="16">
        <v>2</v>
      </c>
      <c r="B3" s="16" t="s">
        <v>6414</v>
      </c>
      <c r="C3" s="16" t="str">
        <f>"S0002_Analysis_of_a_Simply_Supported_Beam"</f>
        <v>S0002_Analysis_of_a_Simply_Supported_Beam</v>
      </c>
      <c r="D3" s="16" t="s">
        <v>6420</v>
      </c>
      <c r="E3" s="16" t="s">
        <v>6421</v>
      </c>
      <c r="F3" s="16" t="s">
        <v>13</v>
      </c>
      <c r="G3" s="23">
        <v>43448</v>
      </c>
      <c r="H3" s="16" t="s">
        <v>6422</v>
      </c>
      <c r="I3" s="16" t="s">
        <v>1117</v>
      </c>
      <c r="J3" s="16" t="s">
        <v>15</v>
      </c>
      <c r="K3" s="24" t="s">
        <v>6423</v>
      </c>
    </row>
    <row r="4" spans="1:13" x14ac:dyDescent="0.3">
      <c r="A4" s="16">
        <v>3</v>
      </c>
      <c r="B4" s="16" t="s">
        <v>6414</v>
      </c>
      <c r="C4" s="16" t="str">
        <f>"S0003_Compressible_Fanno_Flow_of_Air_in_a_Pipe"</f>
        <v>S0003_Compressible_Fanno_Flow_of_Air_in_a_Pipe</v>
      </c>
      <c r="D4" s="16" t="s">
        <v>6424</v>
      </c>
      <c r="E4" s="16" t="s">
        <v>6416</v>
      </c>
      <c r="F4" s="16" t="s">
        <v>13</v>
      </c>
      <c r="G4" s="23">
        <v>43490</v>
      </c>
      <c r="H4" s="16" t="s">
        <v>6425</v>
      </c>
      <c r="I4" s="16" t="s">
        <v>1830</v>
      </c>
      <c r="J4" s="16" t="s">
        <v>15</v>
      </c>
      <c r="K4" s="16" t="s">
        <v>6426</v>
      </c>
    </row>
    <row r="5" spans="1:13" x14ac:dyDescent="0.3">
      <c r="A5" s="16">
        <v>4</v>
      </c>
      <c r="B5" s="16" t="s">
        <v>6414</v>
      </c>
      <c r="C5" s="16" t="str">
        <f>"S0004_Detention_Pond_Routing_by_the_Storage_Indication_Method"</f>
        <v>S0004_Detention_Pond_Routing_by_the_Storage_Indication_Method</v>
      </c>
      <c r="D5" s="16" t="s">
        <v>6427</v>
      </c>
      <c r="E5" s="16" t="s">
        <v>6416</v>
      </c>
      <c r="F5" s="16" t="s">
        <v>13</v>
      </c>
      <c r="G5" s="23">
        <v>43495</v>
      </c>
      <c r="H5" s="16" t="s">
        <v>6428</v>
      </c>
      <c r="I5" s="16" t="s">
        <v>6429</v>
      </c>
      <c r="J5" s="16" t="s">
        <v>15</v>
      </c>
      <c r="K5" s="16" t="s">
        <v>6430</v>
      </c>
    </row>
    <row r="6" spans="1:13" x14ac:dyDescent="0.3">
      <c r="A6" s="16">
        <v>5</v>
      </c>
      <c r="B6" s="16" t="s">
        <v>6414</v>
      </c>
      <c r="C6" s="16" t="str">
        <f>"S0005_Forced_Convection_Heat_Transfer_Coefficients"</f>
        <v>S0005_Forced_Convection_Heat_Transfer_Coefficients</v>
      </c>
      <c r="D6" s="16" t="s">
        <v>6431</v>
      </c>
      <c r="E6" s="16" t="s">
        <v>6416</v>
      </c>
      <c r="F6" s="16" t="s">
        <v>13</v>
      </c>
      <c r="G6" s="23">
        <v>43495</v>
      </c>
      <c r="H6" s="16" t="s">
        <v>6432</v>
      </c>
      <c r="I6" s="16" t="s">
        <v>1711</v>
      </c>
      <c r="J6" s="16" t="s">
        <v>15</v>
      </c>
      <c r="K6" s="16" t="s">
        <v>6433</v>
      </c>
    </row>
    <row r="7" spans="1:13" x14ac:dyDescent="0.3">
      <c r="A7" s="16">
        <v>6</v>
      </c>
      <c r="B7" s="16" t="s">
        <v>6414</v>
      </c>
      <c r="C7" s="16" t="str">
        <f>"S0006_Incompressible_Flow_in_Pipes_and_Channels"</f>
        <v>S0006_Incompressible_Flow_in_Pipes_and_Channels</v>
      </c>
      <c r="D7" s="16" t="s">
        <v>6434</v>
      </c>
      <c r="E7" s="16" t="s">
        <v>6416</v>
      </c>
      <c r="F7" s="16" t="s">
        <v>13</v>
      </c>
      <c r="G7" s="23">
        <v>43497</v>
      </c>
      <c r="H7" s="16" t="s">
        <v>6435</v>
      </c>
      <c r="I7" s="16" t="s">
        <v>38</v>
      </c>
      <c r="J7" s="16" t="s">
        <v>15</v>
      </c>
      <c r="K7" s="16" t="s">
        <v>6436</v>
      </c>
    </row>
    <row r="8" spans="1:13" x14ac:dyDescent="0.3">
      <c r="A8" s="16">
        <v>7</v>
      </c>
      <c r="B8" s="16" t="s">
        <v>6414</v>
      </c>
      <c r="C8" s="16" t="str">
        <f>"S0007_Lime_Soda_Water_Softening"</f>
        <v>S0007_Lime_Soda_Water_Softening</v>
      </c>
      <c r="D8" s="16" t="s">
        <v>6437</v>
      </c>
      <c r="E8" s="16" t="s">
        <v>6416</v>
      </c>
      <c r="F8" s="16" t="s">
        <v>13</v>
      </c>
      <c r="G8" s="23">
        <v>41822</v>
      </c>
      <c r="H8" s="16" t="s">
        <v>6438</v>
      </c>
      <c r="I8" s="16" t="s">
        <v>6439</v>
      </c>
      <c r="J8" s="16" t="s">
        <v>15</v>
      </c>
      <c r="K8" s="16" t="s">
        <v>6440</v>
      </c>
    </row>
    <row r="9" spans="1:13" x14ac:dyDescent="0.3">
      <c r="A9" s="16">
        <v>8</v>
      </c>
      <c r="B9" s="16" t="s">
        <v>6414</v>
      </c>
      <c r="C9" s="16" t="str">
        <f>"S0008_Natural_Convection_Heat_Transfer_Coefficients"</f>
        <v>S0008_Natural_Convection_Heat_Transfer_Coefficients</v>
      </c>
      <c r="D9" s="16" t="s">
        <v>6441</v>
      </c>
      <c r="E9" s="16" t="s">
        <v>6416</v>
      </c>
      <c r="F9" s="16" t="s">
        <v>13</v>
      </c>
      <c r="G9" s="23">
        <v>43495</v>
      </c>
      <c r="H9" s="16" t="s">
        <v>6442</v>
      </c>
      <c r="I9" s="16" t="s">
        <v>6443</v>
      </c>
      <c r="J9" s="16" t="s">
        <v>15</v>
      </c>
      <c r="K9" s="16" t="s">
        <v>6444</v>
      </c>
    </row>
    <row r="10" spans="1:13" x14ac:dyDescent="0.3">
      <c r="A10" s="16">
        <v>9</v>
      </c>
      <c r="B10" s="16" t="s">
        <v>6414</v>
      </c>
      <c r="C10" s="16" t="str">
        <f>"S0009_Partially_Full_Pipe_Flow_Calculations"</f>
        <v>S0009_Partially_Full_Pipe_Flow_Calculations</v>
      </c>
      <c r="D10" s="16" t="s">
        <v>6445</v>
      </c>
      <c r="E10" s="16" t="s">
        <v>6416</v>
      </c>
      <c r="F10" s="16" t="s">
        <v>13</v>
      </c>
      <c r="G10" s="23">
        <v>43502</v>
      </c>
      <c r="H10" s="16" t="s">
        <v>6446</v>
      </c>
      <c r="I10" s="16" t="s">
        <v>6447</v>
      </c>
      <c r="J10" s="16" t="s">
        <v>15</v>
      </c>
      <c r="K10" s="16" t="s">
        <v>6448</v>
      </c>
    </row>
    <row r="11" spans="1:13" x14ac:dyDescent="0.3">
      <c r="A11" s="16">
        <v>10</v>
      </c>
      <c r="B11" s="16" t="s">
        <v>6414</v>
      </c>
      <c r="C11" s="16" t="str">
        <f>"S0010_Peak_Stormwater_Runoff_Calculation_with_the_Rational_Method"</f>
        <v>S0010_Peak_Stormwater_Runoff_Calculation_with_the_Rational_Method</v>
      </c>
      <c r="D11" s="16" t="s">
        <v>6449</v>
      </c>
      <c r="E11" s="16" t="s">
        <v>6416</v>
      </c>
      <c r="F11" s="16" t="s">
        <v>13</v>
      </c>
      <c r="G11" s="23">
        <v>43454</v>
      </c>
      <c r="H11" s="16" t="s">
        <v>6450</v>
      </c>
      <c r="I11" s="16" t="s">
        <v>6451</v>
      </c>
      <c r="J11" s="16" t="s">
        <v>15</v>
      </c>
      <c r="K11" s="16" t="s">
        <v>6452</v>
      </c>
    </row>
    <row r="12" spans="1:13" x14ac:dyDescent="0.3">
      <c r="A12" s="16">
        <v>11</v>
      </c>
      <c r="B12" s="16" t="s">
        <v>6414</v>
      </c>
      <c r="C12" s="16" t="str">
        <f>"S0011_Thermal_Design_of_Double_Pipe_Heat_Exchangers"</f>
        <v>S0011_Thermal_Design_of_Double_Pipe_Heat_Exchangers</v>
      </c>
      <c r="D12" s="16" t="s">
        <v>6453</v>
      </c>
      <c r="E12" s="16" t="s">
        <v>6416</v>
      </c>
      <c r="F12" s="16" t="s">
        <v>13</v>
      </c>
      <c r="G12" s="23">
        <v>43495</v>
      </c>
      <c r="H12" s="16" t="s">
        <v>6454</v>
      </c>
      <c r="I12" s="16" t="s">
        <v>6455</v>
      </c>
      <c r="J12" s="16" t="s">
        <v>15</v>
      </c>
      <c r="K12" s="16" t="s">
        <v>6456</v>
      </c>
    </row>
    <row r="13" spans="1:13" x14ac:dyDescent="0.3">
      <c r="A13" s="16">
        <v>12</v>
      </c>
      <c r="B13" s="16" t="s">
        <v>6414</v>
      </c>
      <c r="C13" s="16" t="str">
        <f>"S0012_Uniform_Open_Channel_Flow_Manning_Equation"</f>
        <v>S0012_Uniform_Open_Channel_Flow_Manning_Equation</v>
      </c>
      <c r="D13" s="16" t="s">
        <v>6457</v>
      </c>
      <c r="E13" s="16" t="s">
        <v>6416</v>
      </c>
      <c r="F13" s="16" t="s">
        <v>13</v>
      </c>
      <c r="G13" s="23">
        <v>43502</v>
      </c>
      <c r="H13" s="16" t="s">
        <v>6458</v>
      </c>
      <c r="I13" s="16" t="s">
        <v>38</v>
      </c>
      <c r="J13" s="16" t="s">
        <v>15</v>
      </c>
      <c r="K13" s="16" t="s">
        <v>6459</v>
      </c>
    </row>
    <row r="14" spans="1:13" x14ac:dyDescent="0.3">
      <c r="A14" s="16">
        <v>13</v>
      </c>
      <c r="B14" s="16" t="s">
        <v>6414</v>
      </c>
      <c r="C14" s="16" t="str">
        <f>"S0013_Analysis_of_a_Cantilever_Beam"</f>
        <v>S0013_Analysis_of_a_Cantilever_Beam</v>
      </c>
      <c r="D14" s="16" t="s">
        <v>6460</v>
      </c>
      <c r="E14" s="16" t="s">
        <v>6461</v>
      </c>
      <c r="F14" s="16" t="s">
        <v>13</v>
      </c>
      <c r="G14" s="23">
        <v>43502</v>
      </c>
      <c r="H14" s="16" t="s">
        <v>6462</v>
      </c>
      <c r="I14" s="16" t="s">
        <v>1117</v>
      </c>
      <c r="J14" s="16" t="s">
        <v>15</v>
      </c>
      <c r="K14" s="16" t="s">
        <v>6463</v>
      </c>
    </row>
    <row r="15" spans="1:13" x14ac:dyDescent="0.3">
      <c r="A15" s="16">
        <v>14</v>
      </c>
      <c r="B15" s="16" t="s">
        <v>6414</v>
      </c>
      <c r="C15" s="16" t="str">
        <f>"S0014_Analysis_of_a_Propped_Cantilever_Beam"</f>
        <v>S0014_Analysis_of_a_Propped_Cantilever_Beam</v>
      </c>
      <c r="D15" s="16" t="s">
        <v>6464</v>
      </c>
      <c r="E15" s="16" t="s">
        <v>6421</v>
      </c>
      <c r="F15" s="16" t="s">
        <v>13</v>
      </c>
      <c r="G15" s="23">
        <v>43448</v>
      </c>
      <c r="H15" s="16" t="s">
        <v>6462</v>
      </c>
      <c r="I15" s="16" t="s">
        <v>1117</v>
      </c>
      <c r="J15" s="16" t="s">
        <v>15</v>
      </c>
      <c r="K15" s="16" t="s">
        <v>6465</v>
      </c>
    </row>
    <row r="16" spans="1:13" x14ac:dyDescent="0.3">
      <c r="A16" s="16">
        <v>15</v>
      </c>
      <c r="B16" s="16" t="s">
        <v>6414</v>
      </c>
      <c r="C16" s="16" t="str">
        <f>"S0015_Compressible_Flow_of_Air_in_Non_Circular_Ducts"</f>
        <v>S0015_Compressible_Flow_of_Air_in_Non_Circular_Ducts</v>
      </c>
      <c r="D16" s="16" t="s">
        <v>6466</v>
      </c>
      <c r="E16" s="16" t="s">
        <v>6467</v>
      </c>
      <c r="F16" s="16" t="s">
        <v>13</v>
      </c>
      <c r="G16" s="23">
        <v>43495</v>
      </c>
      <c r="H16" s="16" t="s">
        <v>6468</v>
      </c>
      <c r="I16" s="16" t="s">
        <v>1830</v>
      </c>
      <c r="J16" s="16" t="s">
        <v>15</v>
      </c>
      <c r="K16" s="16" t="s">
        <v>6469</v>
      </c>
    </row>
    <row r="17" spans="1:11" x14ac:dyDescent="0.3">
      <c r="A17" s="16">
        <v>16</v>
      </c>
      <c r="B17" s="16" t="s">
        <v>6414</v>
      </c>
      <c r="C17" s="16" t="str">
        <f>"S0016_Incompressible_Annulus_and_Duct_Flow_Calculations"</f>
        <v>S0016_Incompressible_Annulus_and_Duct_Flow_Calculations</v>
      </c>
      <c r="D17" s="16" t="s">
        <v>6470</v>
      </c>
      <c r="E17" s="16" t="s">
        <v>6467</v>
      </c>
      <c r="F17" s="16" t="s">
        <v>13</v>
      </c>
      <c r="G17" s="23">
        <v>43497</v>
      </c>
      <c r="H17" s="16" t="s">
        <v>6471</v>
      </c>
      <c r="I17" s="16" t="s">
        <v>38</v>
      </c>
      <c r="J17" s="16" t="s">
        <v>15</v>
      </c>
      <c r="K17" s="16" t="s">
        <v>6472</v>
      </c>
    </row>
    <row r="18" spans="1:11" x14ac:dyDescent="0.3">
      <c r="A18" s="16">
        <v>17</v>
      </c>
      <c r="B18" s="16" t="s">
        <v>6414</v>
      </c>
      <c r="C18" s="16" t="str">
        <f>"S0017_Natural_Gas_Pipeline_Flow_Calculations"</f>
        <v>S0017_Natural_Gas_Pipeline_Flow_Calculations</v>
      </c>
      <c r="D18" s="16" t="s">
        <v>6473</v>
      </c>
      <c r="E18" s="16" t="s">
        <v>6467</v>
      </c>
      <c r="F18" s="16" t="s">
        <v>13</v>
      </c>
      <c r="G18" s="23">
        <v>42230</v>
      </c>
      <c r="H18" s="16" t="s">
        <v>6474</v>
      </c>
      <c r="I18" s="16" t="s">
        <v>6475</v>
      </c>
      <c r="J18" s="16" t="s">
        <v>15</v>
      </c>
      <c r="K18" s="16" t="s">
        <v>6476</v>
      </c>
    </row>
    <row r="19" spans="1:11" x14ac:dyDescent="0.3">
      <c r="A19" s="16">
        <v>18</v>
      </c>
      <c r="B19" s="16" t="s">
        <v>6414</v>
      </c>
      <c r="C19" s="16" t="str">
        <f>"S0018_Analysis_of_AC_and_DC_Circuits_Basic_Calculations"</f>
        <v>S0018_Analysis_of_AC_and_DC_Circuits_Basic_Calculations</v>
      </c>
      <c r="D19" s="16" t="s">
        <v>6477</v>
      </c>
      <c r="E19" s="16" t="s">
        <v>6478</v>
      </c>
      <c r="F19" s="16" t="s">
        <v>13</v>
      </c>
      <c r="G19" s="23">
        <v>43447</v>
      </c>
      <c r="H19" s="16" t="s">
        <v>6479</v>
      </c>
      <c r="I19" s="16" t="s">
        <v>4002</v>
      </c>
      <c r="J19" s="16" t="s">
        <v>15</v>
      </c>
      <c r="K19" s="16" t="s">
        <v>6480</v>
      </c>
    </row>
    <row r="20" spans="1:11" x14ac:dyDescent="0.3">
      <c r="A20" s="16">
        <v>19</v>
      </c>
      <c r="B20" s="16" t="s">
        <v>6414</v>
      </c>
      <c r="C20" s="16" t="str">
        <f>"S0019_Inductance_Capacitance_Resonance_and_Time_Constants_Basic_Calculations"</f>
        <v>S0019_Inductance_Capacitance_Resonance_and_Time_Constants_Basic_Calculations</v>
      </c>
      <c r="D20" s="16" t="s">
        <v>6481</v>
      </c>
      <c r="E20" s="16" t="s">
        <v>6478</v>
      </c>
      <c r="F20" s="16" t="s">
        <v>13</v>
      </c>
      <c r="G20" s="23">
        <v>43447</v>
      </c>
      <c r="H20" s="16" t="s">
        <v>6482</v>
      </c>
      <c r="I20" s="16" t="s">
        <v>6483</v>
      </c>
      <c r="J20" s="16" t="s">
        <v>15</v>
      </c>
      <c r="K20" s="16" t="s">
        <v>6484</v>
      </c>
    </row>
    <row r="21" spans="1:11" x14ac:dyDescent="0.3">
      <c r="A21" s="16">
        <v>20</v>
      </c>
      <c r="B21" s="16" t="s">
        <v>6414</v>
      </c>
      <c r="C21" s="16" t="str">
        <f>"S0020_MBBR_Wastewater_Treatment_Basin_Sizing_and_Aeration_Calculations"</f>
        <v>S0020_MBBR_Wastewater_Treatment_Basin_Sizing_and_Aeration_Calculations</v>
      </c>
      <c r="D21" s="16" t="s">
        <v>6485</v>
      </c>
      <c r="E21" s="16" t="s">
        <v>6467</v>
      </c>
      <c r="F21" s="16" t="s">
        <v>13</v>
      </c>
      <c r="G21" s="23">
        <v>43496</v>
      </c>
      <c r="H21" s="16" t="s">
        <v>6486</v>
      </c>
      <c r="I21" s="16" t="s">
        <v>6487</v>
      </c>
      <c r="J21" s="16" t="s">
        <v>15</v>
      </c>
      <c r="K21" s="16" t="s">
        <v>6488</v>
      </c>
    </row>
    <row r="22" spans="1:11" x14ac:dyDescent="0.3">
      <c r="A22" s="16">
        <v>21</v>
      </c>
      <c r="B22" s="16" t="s">
        <v>6414</v>
      </c>
      <c r="C22" s="16" t="str">
        <f>"S0021_Incompressible_Orifice_Flow_Meter_Calculations"</f>
        <v>S0021_Incompressible_Orifice_Flow_Meter_Calculations</v>
      </c>
      <c r="D22" s="16" t="s">
        <v>6489</v>
      </c>
      <c r="E22" s="16" t="s">
        <v>6467</v>
      </c>
      <c r="F22" s="16" t="s">
        <v>13</v>
      </c>
      <c r="G22" s="23">
        <v>43497</v>
      </c>
      <c r="H22" s="16" t="s">
        <v>6490</v>
      </c>
      <c r="I22" s="16" t="s">
        <v>4506</v>
      </c>
      <c r="J22" s="16" t="s">
        <v>15</v>
      </c>
      <c r="K22" s="16" t="s">
        <v>6491</v>
      </c>
    </row>
    <row r="23" spans="1:11" x14ac:dyDescent="0.3">
      <c r="A23" s="16">
        <v>22</v>
      </c>
      <c r="B23" s="16" t="s">
        <v>6414</v>
      </c>
      <c r="C23" s="16" t="str">
        <f>"S0022_Liquid_Liquid_Extraction_Solvent_Screening"</f>
        <v>S0022_Liquid_Liquid_Extraction_Solvent_Screening</v>
      </c>
      <c r="D23" s="16" t="s">
        <v>6492</v>
      </c>
      <c r="E23" s="16" t="s">
        <v>6467</v>
      </c>
      <c r="F23" s="16" t="s">
        <v>13</v>
      </c>
      <c r="G23" s="23">
        <v>43495</v>
      </c>
      <c r="H23" s="16" t="s">
        <v>6493</v>
      </c>
      <c r="I23" s="16" t="s">
        <v>1845</v>
      </c>
      <c r="J23" s="16" t="s">
        <v>15</v>
      </c>
      <c r="K23" s="16" t="s">
        <v>6494</v>
      </c>
    </row>
    <row r="24" spans="1:11" x14ac:dyDescent="0.3">
      <c r="A24" s="16">
        <v>23</v>
      </c>
      <c r="B24" s="16" t="s">
        <v>6414</v>
      </c>
      <c r="C24" s="16" t="str">
        <f>"S0023_Antennas_and_Transmission_Lines_Basic_Calculations"</f>
        <v>S0023_Antennas_and_Transmission_Lines_Basic_Calculations</v>
      </c>
      <c r="D24" s="16" t="s">
        <v>6495</v>
      </c>
      <c r="E24" s="16" t="s">
        <v>6478</v>
      </c>
      <c r="F24" s="16" t="s">
        <v>13</v>
      </c>
      <c r="G24" s="23">
        <v>43447</v>
      </c>
      <c r="H24" s="16" t="s">
        <v>6496</v>
      </c>
      <c r="I24" s="16" t="s">
        <v>6497</v>
      </c>
      <c r="J24" s="16" t="s">
        <v>15</v>
      </c>
      <c r="K24" s="16" t="s">
        <v>6498</v>
      </c>
    </row>
    <row r="25" spans="1:11" x14ac:dyDescent="0.3">
      <c r="A25" s="16">
        <v>24</v>
      </c>
      <c r="B25" s="16" t="s">
        <v>6414</v>
      </c>
      <c r="C25" s="16" t="str">
        <f>"S0024_Gas_Flow_Orifice_Meter_Calculations"</f>
        <v>S0024_Gas_Flow_Orifice_Meter_Calculations</v>
      </c>
      <c r="D25" s="16" t="s">
        <v>6499</v>
      </c>
      <c r="E25" s="16" t="s">
        <v>6467</v>
      </c>
      <c r="F25" s="16" t="s">
        <v>13</v>
      </c>
      <c r="G25" s="23">
        <v>43496</v>
      </c>
      <c r="H25" s="16" t="s">
        <v>6500</v>
      </c>
      <c r="I25" s="16" t="s">
        <v>6501</v>
      </c>
      <c r="J25" s="16" t="s">
        <v>15</v>
      </c>
      <c r="K25" s="16" t="s">
        <v>6502</v>
      </c>
    </row>
    <row r="26" spans="1:11" x14ac:dyDescent="0.3">
      <c r="A26" s="16">
        <v>25</v>
      </c>
      <c r="B26" s="16" t="s">
        <v>6414</v>
      </c>
      <c r="C26" s="16" t="str">
        <f>"S0025_Analysis_of_a_Fixed_Fixed_Beam"</f>
        <v>S0025_Analysis_of_a_Fixed_Fixed_Beam</v>
      </c>
      <c r="D26" s="16" t="s">
        <v>6503</v>
      </c>
      <c r="E26" s="16" t="s">
        <v>6421</v>
      </c>
      <c r="F26" s="16" t="s">
        <v>13</v>
      </c>
      <c r="G26" s="23">
        <v>43448</v>
      </c>
      <c r="H26" s="16" t="s">
        <v>6422</v>
      </c>
      <c r="I26" s="16" t="s">
        <v>1117</v>
      </c>
      <c r="J26" s="16" t="s">
        <v>15</v>
      </c>
      <c r="K26" s="16" t="s">
        <v>6504</v>
      </c>
    </row>
    <row r="27" spans="1:11" x14ac:dyDescent="0.3">
      <c r="A27" s="16">
        <v>26</v>
      </c>
      <c r="B27" s="16" t="s">
        <v>6414</v>
      </c>
      <c r="C27" s="16" t="str">
        <f>"S0026_Field_Oxygen_Transfer_Efficiency_and_Aeration_Diffuser_Calculations"</f>
        <v>S0026_Field_Oxygen_Transfer_Efficiency_and_Aeration_Diffuser_Calculations</v>
      </c>
      <c r="D27" s="16" t="s">
        <v>6505</v>
      </c>
      <c r="E27" s="16" t="s">
        <v>6506</v>
      </c>
      <c r="F27" s="16" t="s">
        <v>13</v>
      </c>
      <c r="G27" s="23">
        <v>43497</v>
      </c>
      <c r="H27" s="16" t="s">
        <v>6507</v>
      </c>
      <c r="I27" s="16" t="s">
        <v>6508</v>
      </c>
      <c r="J27" s="16" t="s">
        <v>15</v>
      </c>
      <c r="K27" s="16" t="s">
        <v>6509</v>
      </c>
    </row>
    <row r="28" spans="1:11" x14ac:dyDescent="0.3">
      <c r="A28" s="16">
        <v>27</v>
      </c>
      <c r="B28" s="16" t="s">
        <v>6414</v>
      </c>
      <c r="C28" s="16" t="str">
        <f>"S0027_SBR_Wastewater_Treatment_Design_Calculations"</f>
        <v>S0027_SBR_Wastewater_Treatment_Design_Calculations</v>
      </c>
      <c r="D28" s="16" t="s">
        <v>6510</v>
      </c>
      <c r="E28" s="16" t="s">
        <v>6467</v>
      </c>
      <c r="F28" s="16" t="s">
        <v>13</v>
      </c>
      <c r="G28" s="23">
        <v>43448</v>
      </c>
      <c r="H28" s="16" t="s">
        <v>6511</v>
      </c>
      <c r="I28" s="16" t="s">
        <v>6512</v>
      </c>
      <c r="J28" s="16" t="s">
        <v>15</v>
      </c>
      <c r="K28" s="16" t="s">
        <v>6513</v>
      </c>
    </row>
    <row r="29" spans="1:11" x14ac:dyDescent="0.3">
      <c r="A29" s="16">
        <v>28</v>
      </c>
      <c r="B29" s="16" t="s">
        <v>6414</v>
      </c>
      <c r="C29" s="16" t="str">
        <f>"S0028_Sharp_Crested_Weir"</f>
        <v>S0028_Sharp_Crested_Weir</v>
      </c>
      <c r="D29" s="16" t="s">
        <v>6514</v>
      </c>
      <c r="E29" s="16" t="s">
        <v>6467</v>
      </c>
      <c r="F29" s="16" t="s">
        <v>13</v>
      </c>
      <c r="G29" s="23">
        <v>43454</v>
      </c>
      <c r="H29" s="16" t="s">
        <v>6515</v>
      </c>
      <c r="I29" s="16" t="s">
        <v>293</v>
      </c>
      <c r="J29" s="16" t="s">
        <v>15</v>
      </c>
      <c r="K29" s="16" t="s">
        <v>6516</v>
      </c>
    </row>
    <row r="30" spans="1:11" x14ac:dyDescent="0.3">
      <c r="A30" s="16">
        <v>29</v>
      </c>
      <c r="B30" s="16" t="s">
        <v>6414</v>
      </c>
      <c r="C30" s="16" t="str">
        <f>"S0029_MBBR_Nitrification_Denitrification_Calculations"</f>
        <v>S0029_MBBR_Nitrification_Denitrification_Calculations</v>
      </c>
      <c r="D30" s="16" t="s">
        <v>6517</v>
      </c>
      <c r="E30" s="16" t="s">
        <v>6467</v>
      </c>
      <c r="F30" s="16" t="s">
        <v>13</v>
      </c>
      <c r="G30" s="23">
        <v>43495</v>
      </c>
      <c r="H30" s="16" t="s">
        <v>6518</v>
      </c>
      <c r="I30" s="16" t="s">
        <v>6487</v>
      </c>
      <c r="J30" s="16" t="s">
        <v>15</v>
      </c>
      <c r="K30" s="16" t="s">
        <v>6519</v>
      </c>
    </row>
    <row r="31" spans="1:11" x14ac:dyDescent="0.3">
      <c r="A31" s="16">
        <v>30</v>
      </c>
      <c r="B31" s="16" t="s">
        <v>6414</v>
      </c>
      <c r="C31" s="16" t="str">
        <f>"S0030_Stress_Transformation_Calculations"</f>
        <v>S0030_Stress_Transformation_Calculations</v>
      </c>
      <c r="D31" s="16" t="s">
        <v>6520</v>
      </c>
      <c r="E31" s="16" t="s">
        <v>6421</v>
      </c>
      <c r="F31" s="16" t="s">
        <v>13</v>
      </c>
      <c r="G31" s="23">
        <v>43447</v>
      </c>
      <c r="H31" s="16" t="s">
        <v>6521</v>
      </c>
      <c r="I31" s="16" t="s">
        <v>64</v>
      </c>
      <c r="J31" s="16" t="s">
        <v>15</v>
      </c>
      <c r="K31" s="16" t="s">
        <v>6522</v>
      </c>
    </row>
    <row r="32" spans="1:11" x14ac:dyDescent="0.3">
      <c r="A32" s="16">
        <v>31</v>
      </c>
      <c r="B32" s="16" t="s">
        <v>6414</v>
      </c>
      <c r="C32" s="16" t="str">
        <f>"S0031_Venturi_Meter_Calculations"</f>
        <v>S0031_Venturi_Meter_Calculations</v>
      </c>
      <c r="D32" s="16" t="s">
        <v>6523</v>
      </c>
      <c r="E32" s="16" t="s">
        <v>6467</v>
      </c>
      <c r="F32" s="16" t="s">
        <v>13</v>
      </c>
      <c r="G32" s="23">
        <v>43496</v>
      </c>
      <c r="H32" s="16" t="s">
        <v>6524</v>
      </c>
      <c r="I32" s="16" t="s">
        <v>4506</v>
      </c>
      <c r="J32" s="16" t="s">
        <v>15</v>
      </c>
      <c r="K32" s="16" t="s">
        <v>6525</v>
      </c>
    </row>
    <row r="33" spans="1:11" x14ac:dyDescent="0.3">
      <c r="A33" s="16">
        <v>32</v>
      </c>
      <c r="B33" s="16" t="s">
        <v>6414</v>
      </c>
      <c r="C33" s="16" t="str">
        <f>"S0032_Continuous_2-span_Beam_Calculations"</f>
        <v>S0032_Continuous_2-span_Beam_Calculations</v>
      </c>
      <c r="D33" s="16" t="s">
        <v>6526</v>
      </c>
      <c r="E33" s="16" t="s">
        <v>6421</v>
      </c>
      <c r="F33" s="16" t="s">
        <v>13</v>
      </c>
      <c r="G33" s="23">
        <v>43447</v>
      </c>
      <c r="H33" s="16" t="s">
        <v>6527</v>
      </c>
      <c r="I33" s="16" t="s">
        <v>1117</v>
      </c>
      <c r="J33" s="16" t="s">
        <v>15</v>
      </c>
      <c r="K33" s="16" t="s">
        <v>6528</v>
      </c>
    </row>
    <row r="34" spans="1:11" x14ac:dyDescent="0.3">
      <c r="A34" s="16">
        <v>33</v>
      </c>
      <c r="B34" s="16" t="s">
        <v>6414</v>
      </c>
      <c r="C34" s="16" t="str">
        <f>"S0033_Overhang_Beam_Calculations"</f>
        <v>S0033_Overhang_Beam_Calculations</v>
      </c>
      <c r="D34" s="16" t="s">
        <v>6529</v>
      </c>
      <c r="E34" s="16" t="s">
        <v>6421</v>
      </c>
      <c r="F34" s="16" t="s">
        <v>13</v>
      </c>
      <c r="G34" s="23">
        <v>43447</v>
      </c>
      <c r="H34" s="16" t="s">
        <v>6530</v>
      </c>
      <c r="I34" s="16" t="s">
        <v>1117</v>
      </c>
      <c r="J34" s="16" t="s">
        <v>15</v>
      </c>
      <c r="K34" s="16" t="s">
        <v>6531</v>
      </c>
    </row>
    <row r="35" spans="1:11" x14ac:dyDescent="0.3">
      <c r="A35" s="16">
        <v>34</v>
      </c>
      <c r="B35" s="16" t="s">
        <v>6414</v>
      </c>
      <c r="C35" s="16" t="str">
        <f>"S0034_Non-Uniform_Flow_Surface_Profiles"</f>
        <v>S0034_Non-Uniform_Flow_Surface_Profiles</v>
      </c>
      <c r="D35" s="16" t="s">
        <v>6532</v>
      </c>
      <c r="E35" s="16" t="s">
        <v>6467</v>
      </c>
      <c r="F35" s="16" t="s">
        <v>13</v>
      </c>
      <c r="G35" s="23">
        <v>43496</v>
      </c>
      <c r="H35" s="16" t="s">
        <v>6533</v>
      </c>
      <c r="I35" s="16" t="s">
        <v>6534</v>
      </c>
      <c r="J35" s="16" t="s">
        <v>15</v>
      </c>
      <c r="K35" s="16" t="s">
        <v>6535</v>
      </c>
    </row>
    <row r="36" spans="1:11" x14ac:dyDescent="0.3">
      <c r="A36" s="16">
        <v>35</v>
      </c>
      <c r="B36" s="16" t="s">
        <v>6414</v>
      </c>
      <c r="C36" s="16" t="str">
        <f>"S0035_Compressibility_Factor_Calculator_Final_Protected"</f>
        <v>S0035_Compressibility_Factor_Calculator_Final_Protected</v>
      </c>
      <c r="D36" s="16" t="s">
        <v>6536</v>
      </c>
      <c r="E36" s="16" t="s">
        <v>6467</v>
      </c>
      <c r="F36" s="16" t="s">
        <v>13</v>
      </c>
      <c r="G36" s="23">
        <v>43497</v>
      </c>
      <c r="H36" s="16" t="s">
        <v>6537</v>
      </c>
      <c r="I36" s="16" t="s">
        <v>1711</v>
      </c>
      <c r="J36" s="16" t="s">
        <v>15</v>
      </c>
      <c r="K36" s="16" t="s">
        <v>6538</v>
      </c>
    </row>
    <row r="37" spans="1:11" x14ac:dyDescent="0.3">
      <c r="A37" s="16">
        <v>36</v>
      </c>
      <c r="B37" s="16" t="s">
        <v>6414</v>
      </c>
      <c r="C37" s="16" t="str">
        <f>"S0036_Reinforced_Concrete_Beam_Deflection"</f>
        <v>S0036_Reinforced_Concrete_Beam_Deflection</v>
      </c>
      <c r="D37" s="16" t="s">
        <v>6539</v>
      </c>
      <c r="E37" s="16" t="s">
        <v>6540</v>
      </c>
      <c r="F37" s="16" t="s">
        <v>13</v>
      </c>
      <c r="G37" s="23">
        <v>42977</v>
      </c>
      <c r="H37" s="16" t="s">
        <v>6541</v>
      </c>
      <c r="I37" s="16" t="s">
        <v>742</v>
      </c>
      <c r="J37" s="16" t="s">
        <v>15</v>
      </c>
      <c r="K37" s="16" t="s">
        <v>6542</v>
      </c>
    </row>
    <row r="38" spans="1:11" x14ac:dyDescent="0.3">
      <c r="A38" s="16">
        <v>37</v>
      </c>
      <c r="B38" s="16" t="s">
        <v>6414</v>
      </c>
      <c r="C38" s="16" t="str">
        <f>"S0037_Reinforced_Concrete_Columns"</f>
        <v>S0037_Reinforced_Concrete_Columns</v>
      </c>
      <c r="D38" s="16" t="s">
        <v>6543</v>
      </c>
      <c r="E38" s="16" t="s">
        <v>6540</v>
      </c>
      <c r="F38" s="16" t="s">
        <v>13</v>
      </c>
      <c r="G38" s="23">
        <v>42977</v>
      </c>
      <c r="H38" s="16" t="s">
        <v>6544</v>
      </c>
      <c r="I38" s="16" t="s">
        <v>1954</v>
      </c>
      <c r="J38" s="16" t="s">
        <v>15</v>
      </c>
      <c r="K38" s="16" t="s">
        <v>6545</v>
      </c>
    </row>
    <row r="39" spans="1:11" x14ac:dyDescent="0.3">
      <c r="A39" s="16">
        <v>38</v>
      </c>
      <c r="B39" s="16" t="s">
        <v>6414</v>
      </c>
      <c r="C39" s="16" t="str">
        <f>"S0038_Mininum_Required_Pipe_Wall_Thickness_and_Maximum_Allowable_Working_Pressure_MAWP"</f>
        <v>S0038_Mininum_Required_Pipe_Wall_Thickness_and_Maximum_Allowable_Working_Pressure_MAWP</v>
      </c>
      <c r="D39" s="16" t="s">
        <v>6546</v>
      </c>
      <c r="E39" s="16" t="s">
        <v>6467</v>
      </c>
      <c r="F39" s="16" t="s">
        <v>13</v>
      </c>
      <c r="G39" s="23">
        <v>43496</v>
      </c>
      <c r="H39" s="16" t="s">
        <v>6547</v>
      </c>
      <c r="I39" s="16" t="s">
        <v>4130</v>
      </c>
      <c r="J39" s="16" t="s">
        <v>15</v>
      </c>
      <c r="K39" s="16" t="s">
        <v>6548</v>
      </c>
    </row>
    <row r="40" spans="1:11" x14ac:dyDescent="0.3">
      <c r="A40" s="16">
        <v>39</v>
      </c>
      <c r="B40" s="16" t="s">
        <v>6414</v>
      </c>
      <c r="C40" s="16" t="str">
        <f>"S0039_Dissolved_Air_Flotation_Design_Calculations"</f>
        <v>S0039_Dissolved_Air_Flotation_Design_Calculations</v>
      </c>
      <c r="D40" s="16" t="s">
        <v>6549</v>
      </c>
      <c r="E40" s="16" t="s">
        <v>6467</v>
      </c>
      <c r="F40" s="16" t="s">
        <v>13</v>
      </c>
      <c r="G40" s="23">
        <v>43448</v>
      </c>
      <c r="H40" s="16" t="s">
        <v>6550</v>
      </c>
      <c r="I40" s="16" t="s">
        <v>4506</v>
      </c>
      <c r="J40" s="16" t="s">
        <v>15</v>
      </c>
      <c r="K40" s="16" t="s">
        <v>6551</v>
      </c>
    </row>
    <row r="41" spans="1:11" x14ac:dyDescent="0.3">
      <c r="A41" s="16">
        <v>40</v>
      </c>
      <c r="B41" s="16" t="s">
        <v>6414</v>
      </c>
      <c r="C41" s="16" t="str">
        <f>"S0040_Venturi_Meter_Gas_Flow_Calculations"</f>
        <v>S0040_Venturi_Meter_Gas_Flow_Calculations</v>
      </c>
      <c r="D41" s="16" t="s">
        <v>6552</v>
      </c>
      <c r="E41" s="16" t="s">
        <v>6467</v>
      </c>
      <c r="F41" s="16" t="s">
        <v>13</v>
      </c>
      <c r="G41" s="23">
        <v>43495</v>
      </c>
      <c r="H41" s="16" t="s">
        <v>6553</v>
      </c>
      <c r="I41" s="16" t="s">
        <v>566</v>
      </c>
      <c r="J41" s="16" t="s">
        <v>15</v>
      </c>
      <c r="K41" s="16" t="s">
        <v>6554</v>
      </c>
    </row>
    <row r="42" spans="1:11" x14ac:dyDescent="0.3">
      <c r="A42" s="16">
        <v>41</v>
      </c>
      <c r="B42" s="16" t="s">
        <v>6414</v>
      </c>
      <c r="C42" s="16" t="str">
        <f>"S0041_UASB_Wastewater_Treatment_Design_Calculations"</f>
        <v>S0041_UASB_Wastewater_Treatment_Design_Calculations</v>
      </c>
      <c r="D42" s="16" t="s">
        <v>6555</v>
      </c>
      <c r="E42" s="16" t="s">
        <v>6467</v>
      </c>
      <c r="F42" s="16" t="s">
        <v>13</v>
      </c>
      <c r="G42" s="23">
        <v>43495</v>
      </c>
      <c r="H42" s="16" t="s">
        <v>6556</v>
      </c>
      <c r="I42" s="16" t="s">
        <v>6557</v>
      </c>
      <c r="J42" s="16" t="s">
        <v>15</v>
      </c>
      <c r="K42" s="16" t="s">
        <v>6558</v>
      </c>
    </row>
    <row r="43" spans="1:11" x14ac:dyDescent="0.3">
      <c r="A43" s="16">
        <v>42</v>
      </c>
      <c r="B43" s="16" t="s">
        <v>6414</v>
      </c>
      <c r="C43" s="16" t="str">
        <f>"S0042_Hydraulic_Grade_Line_and_Energy_Grade_Line_Calculations"</f>
        <v>S0042_Hydraulic_Grade_Line_and_Energy_Grade_Line_Calculations</v>
      </c>
      <c r="D43" s="16" t="s">
        <v>6559</v>
      </c>
      <c r="E43" s="16" t="s">
        <v>6467</v>
      </c>
      <c r="F43" s="16" t="s">
        <v>13</v>
      </c>
      <c r="G43" s="23">
        <v>43495</v>
      </c>
      <c r="H43" s="16" t="s">
        <v>6560</v>
      </c>
      <c r="I43" s="16" t="s">
        <v>6561</v>
      </c>
      <c r="J43" s="16" t="s">
        <v>15</v>
      </c>
      <c r="K43" s="16" t="s">
        <v>6562</v>
      </c>
    </row>
    <row r="44" spans="1:11" x14ac:dyDescent="0.3">
      <c r="A44" s="16">
        <v>43</v>
      </c>
      <c r="B44" s="16" t="s">
        <v>6414</v>
      </c>
      <c r="C44" s="16" t="str">
        <f>"S0043_Compressible_Fanno_Flow_Through_a_Pipe"</f>
        <v>S0043_Compressible_Fanno_Flow_Through_a_Pipe</v>
      </c>
      <c r="D44" s="16" t="s">
        <v>6563</v>
      </c>
      <c r="E44" s="16" t="s">
        <v>6467</v>
      </c>
      <c r="F44" s="16" t="s">
        <v>13</v>
      </c>
      <c r="G44" s="23">
        <v>43496</v>
      </c>
      <c r="H44" s="16" t="s">
        <v>6564</v>
      </c>
      <c r="I44" s="16" t="s">
        <v>1830</v>
      </c>
      <c r="J44" s="16" t="s">
        <v>15</v>
      </c>
      <c r="K44" s="16" t="s">
        <v>6565</v>
      </c>
    </row>
    <row r="45" spans="1:11" x14ac:dyDescent="0.3">
      <c r="A45" s="16">
        <v>44</v>
      </c>
      <c r="B45" s="16" t="s">
        <v>6414</v>
      </c>
      <c r="C45" s="16" t="str">
        <f>"S0044_Thermodynamic_P-V-T_Calculations_for_Gases"</f>
        <v>S0044_Thermodynamic_P-V-T_Calculations_for_Gases</v>
      </c>
      <c r="D45" s="16" t="s">
        <v>6566</v>
      </c>
      <c r="E45" s="16" t="s">
        <v>6467</v>
      </c>
      <c r="F45" s="16" t="s">
        <v>13</v>
      </c>
      <c r="G45" s="23">
        <v>43469</v>
      </c>
      <c r="H45" s="16" t="s">
        <v>6567</v>
      </c>
      <c r="I45" s="16" t="s">
        <v>2899</v>
      </c>
      <c r="J45" s="16" t="s">
        <v>15</v>
      </c>
      <c r="K45" s="16" t="s">
        <v>6568</v>
      </c>
    </row>
    <row r="46" spans="1:11" x14ac:dyDescent="0.3">
      <c r="A46" s="16">
        <v>45</v>
      </c>
      <c r="B46" s="16" t="s">
        <v>6414</v>
      </c>
      <c r="C46" s="16" t="str">
        <f>"S0045_MBR_Process_Design_Calculations"</f>
        <v>S0045_MBR_Process_Design_Calculations</v>
      </c>
      <c r="D46" s="16" t="s">
        <v>6569</v>
      </c>
      <c r="E46" s="16" t="s">
        <v>6467</v>
      </c>
      <c r="F46" s="16" t="s">
        <v>13</v>
      </c>
      <c r="G46" s="23">
        <v>43550</v>
      </c>
      <c r="H46" s="16" t="s">
        <v>6570</v>
      </c>
      <c r="I46" s="16" t="s">
        <v>6571</v>
      </c>
      <c r="J46" s="16" t="s">
        <v>15</v>
      </c>
      <c r="K46" s="16" t="s">
        <v>6572</v>
      </c>
    </row>
    <row r="47" spans="1:11" x14ac:dyDescent="0.3">
      <c r="A47" s="16">
        <v>46</v>
      </c>
      <c r="B47" s="16" t="s">
        <v>6414</v>
      </c>
      <c r="C47" s="16" t="str">
        <f>"S0046_Hazen-Williams_Pipe_Flow_Calculations"</f>
        <v>S0046_Hazen-Williams_Pipe_Flow_Calculations</v>
      </c>
      <c r="D47" s="16" t="s">
        <v>6573</v>
      </c>
      <c r="E47" s="16" t="s">
        <v>6467</v>
      </c>
      <c r="F47" s="16" t="s">
        <v>13</v>
      </c>
      <c r="G47" s="23">
        <v>43572</v>
      </c>
      <c r="H47" s="16" t="s">
        <v>6574</v>
      </c>
      <c r="I47" s="16" t="s">
        <v>38</v>
      </c>
      <c r="J47" s="16" t="s">
        <v>15</v>
      </c>
      <c r="K47" s="16" t="s">
        <v>6575</v>
      </c>
    </row>
    <row r="48" spans="1:11" x14ac:dyDescent="0.3">
      <c r="A48" s="16">
        <v>47</v>
      </c>
      <c r="B48" s="16" t="s">
        <v>6414</v>
      </c>
      <c r="C48" s="16" t="str">
        <f>"S0047_Circular_Culvert_Design_Calculations"</f>
        <v>S0047_Circular_Culvert_Design_Calculations</v>
      </c>
      <c r="D48" s="16" t="s">
        <v>6576</v>
      </c>
      <c r="E48" s="16" t="s">
        <v>6467</v>
      </c>
      <c r="F48" s="16" t="s">
        <v>13</v>
      </c>
      <c r="G48" s="23">
        <v>43672</v>
      </c>
      <c r="H48" s="16" t="s">
        <v>6577</v>
      </c>
      <c r="I48" s="16" t="s">
        <v>36</v>
      </c>
      <c r="J48" s="16" t="s">
        <v>15</v>
      </c>
      <c r="K48" s="16" t="s">
        <v>6578</v>
      </c>
    </row>
    <row r="49" spans="1:11" x14ac:dyDescent="0.3">
      <c r="A49" s="16">
        <v>48</v>
      </c>
      <c r="B49" s="16" t="s">
        <v>6414</v>
      </c>
      <c r="C49" s="16" t="str">
        <f>"S0048_Partially_Full_Pipe_Flow_Calculations_Viscous_Liquids"</f>
        <v>S0048_Partially_Full_Pipe_Flow_Calculations_Viscous_Liquids</v>
      </c>
      <c r="D49" s="16" t="s">
        <v>6579</v>
      </c>
      <c r="E49" s="16" t="s">
        <v>6467</v>
      </c>
      <c r="F49" s="16" t="s">
        <v>13</v>
      </c>
      <c r="G49" s="23">
        <v>43776</v>
      </c>
      <c r="H49" s="16" t="s">
        <v>6580</v>
      </c>
      <c r="I49" s="16" t="s">
        <v>1867</v>
      </c>
      <c r="J49" s="16" t="s">
        <v>15</v>
      </c>
      <c r="K49" s="16" t="s">
        <v>6581</v>
      </c>
    </row>
    <row r="50" spans="1:11" x14ac:dyDescent="0.3">
      <c r="A50" s="16">
        <v>49</v>
      </c>
      <c r="B50" s="16" t="s">
        <v>6414</v>
      </c>
      <c r="C50" s="16" t="str">
        <f>"S0049_Sutro_Weir_Design_and_Flow_Calculations"</f>
        <v>S0049_Sutro_Weir_Design_and_Flow_Calculations</v>
      </c>
      <c r="D50" s="16" t="s">
        <v>6582</v>
      </c>
      <c r="E50" s="16" t="s">
        <v>6467</v>
      </c>
      <c r="F50" s="16" t="s">
        <v>13</v>
      </c>
      <c r="G50" s="23">
        <v>43782</v>
      </c>
      <c r="H50" s="16" t="s">
        <v>6583</v>
      </c>
      <c r="I50" s="16" t="s">
        <v>293</v>
      </c>
      <c r="J50" s="16" t="s">
        <v>15</v>
      </c>
      <c r="K50" s="16" t="s">
        <v>6584</v>
      </c>
    </row>
    <row r="51" spans="1:11" x14ac:dyDescent="0.3">
      <c r="A51" s="16">
        <v>50</v>
      </c>
      <c r="B51" s="16" t="s">
        <v>6414</v>
      </c>
      <c r="C51" s="16" t="str">
        <f>"S0050_Control_System_Analysis"</f>
        <v>S0050_Control_System_Analysis</v>
      </c>
      <c r="D51" s="16" t="s">
        <v>6585</v>
      </c>
      <c r="E51" s="16" t="s">
        <v>6586</v>
      </c>
      <c r="F51" s="16" t="s">
        <v>13</v>
      </c>
      <c r="G51" s="23">
        <v>43809</v>
      </c>
      <c r="H51" s="16" t="s">
        <v>6587</v>
      </c>
      <c r="I51" s="16" t="s">
        <v>6588</v>
      </c>
      <c r="J51" s="16" t="s">
        <v>15</v>
      </c>
      <c r="K51" s="16" t="s">
        <v>6589</v>
      </c>
    </row>
    <row r="52" spans="1:11" x14ac:dyDescent="0.3">
      <c r="A52" s="16">
        <v>51</v>
      </c>
      <c r="B52" s="16" t="s">
        <v>6414</v>
      </c>
      <c r="C52" s="16" t="str">
        <f>"S0051_Control_System_Design"</f>
        <v>S0051_Control_System_Design</v>
      </c>
      <c r="D52" s="16" t="s">
        <v>6590</v>
      </c>
      <c r="E52" s="16" t="s">
        <v>6586</v>
      </c>
      <c r="F52" s="16" t="s">
        <v>13</v>
      </c>
      <c r="G52" s="23">
        <v>43809</v>
      </c>
      <c r="H52" s="16" t="s">
        <v>6591</v>
      </c>
      <c r="I52" s="16" t="s">
        <v>6592</v>
      </c>
      <c r="J52" s="16" t="s">
        <v>15</v>
      </c>
      <c r="K52" s="16" t="s">
        <v>6593</v>
      </c>
    </row>
    <row r="53" spans="1:11" x14ac:dyDescent="0.3">
      <c r="A53" s="16">
        <v>52</v>
      </c>
      <c r="B53" s="16" t="s">
        <v>6414</v>
      </c>
      <c r="C53" s="16" t="str">
        <f>"S0052_Broad_Crested_Weir_Calculations"</f>
        <v>S0052_Broad_Crested_Weir_Calculations</v>
      </c>
      <c r="D53" s="16" t="s">
        <v>6594</v>
      </c>
      <c r="E53" s="16" t="s">
        <v>6467</v>
      </c>
      <c r="F53" s="16" t="s">
        <v>13</v>
      </c>
      <c r="G53" s="23">
        <v>43914</v>
      </c>
      <c r="H53" s="16" t="s">
        <v>6595</v>
      </c>
      <c r="I53" s="16" t="s">
        <v>293</v>
      </c>
      <c r="J53" s="16" t="s">
        <v>15</v>
      </c>
      <c r="K53" s="16" t="s">
        <v>6596</v>
      </c>
    </row>
    <row r="54" spans="1:11" x14ac:dyDescent="0.3">
      <c r="A54" s="16">
        <v>53</v>
      </c>
      <c r="B54" s="16" t="s">
        <v>6414</v>
      </c>
      <c r="C54" s="16" t="str">
        <f>"S0053_Solubility_of_Gases_in_Water"</f>
        <v>S0053_Solubility_of_Gases_in_Water</v>
      </c>
      <c r="D54" s="16" t="s">
        <v>6597</v>
      </c>
      <c r="E54" s="16" t="s">
        <v>6467</v>
      </c>
      <c r="F54" s="16" t="s">
        <v>13</v>
      </c>
      <c r="G54" s="23">
        <v>43918</v>
      </c>
      <c r="H54" s="16" t="s">
        <v>6598</v>
      </c>
      <c r="I54" s="16" t="s">
        <v>6599</v>
      </c>
      <c r="J54" s="16" t="s">
        <v>15</v>
      </c>
      <c r="K54" s="16" t="s">
        <v>6600</v>
      </c>
    </row>
    <row r="55" spans="1:11" x14ac:dyDescent="0.3">
      <c r="A55" s="16">
        <v>54</v>
      </c>
      <c r="B55" s="16" t="s">
        <v>6414</v>
      </c>
      <c r="C55" s="16" t="str">
        <f>"S0054_Flow_Rate_through_Parshall_Flume"</f>
        <v>S0054_Flow_Rate_through_Parshall_Flume</v>
      </c>
      <c r="D55" s="16" t="s">
        <v>6601</v>
      </c>
      <c r="E55" s="16" t="s">
        <v>6467</v>
      </c>
      <c r="F55" s="16" t="s">
        <v>13</v>
      </c>
      <c r="G55" s="23">
        <v>43924</v>
      </c>
      <c r="H55" s="16" t="s">
        <v>6602</v>
      </c>
      <c r="I55" s="16" t="s">
        <v>4506</v>
      </c>
      <c r="J55" s="16" t="s">
        <v>15</v>
      </c>
      <c r="K55" s="16" t="s">
        <v>6603</v>
      </c>
    </row>
    <row r="56" spans="1:11" x14ac:dyDescent="0.3">
      <c r="A56" s="16">
        <v>55</v>
      </c>
      <c r="B56" s="16" t="s">
        <v>6414</v>
      </c>
      <c r="C56" s="16" t="str">
        <f>"S0055_Dissolved_Oxygen_Solubility_Calculator"</f>
        <v>S0055_Dissolved_Oxygen_Solubility_Calculator</v>
      </c>
      <c r="D56" s="16" t="s">
        <v>6604</v>
      </c>
      <c r="E56" s="16" t="s">
        <v>6467</v>
      </c>
      <c r="F56" s="16" t="s">
        <v>13</v>
      </c>
      <c r="G56" s="23">
        <v>44034</v>
      </c>
      <c r="H56" s="16" t="s">
        <v>6605</v>
      </c>
      <c r="I56" s="16" t="s">
        <v>6439</v>
      </c>
      <c r="J56" s="16" t="s">
        <v>15</v>
      </c>
      <c r="K56" s="16" t="s">
        <v>6606</v>
      </c>
    </row>
    <row r="57" spans="1:11" x14ac:dyDescent="0.3">
      <c r="A57" s="16">
        <v>56</v>
      </c>
      <c r="B57" s="16" t="s">
        <v>6414</v>
      </c>
      <c r="C57" s="16" t="str">
        <f>"S0056_D_O_Sag_Equation_Calculations"</f>
        <v>S0056_D_O_Sag_Equation_Calculations</v>
      </c>
      <c r="D57" s="16" t="s">
        <v>6607</v>
      </c>
      <c r="E57" s="16" t="s">
        <v>6467</v>
      </c>
      <c r="F57" s="16" t="s">
        <v>13</v>
      </c>
      <c r="G57" s="23">
        <v>44062</v>
      </c>
      <c r="H57" s="16" t="s">
        <v>6608</v>
      </c>
      <c r="I57" s="16" t="s">
        <v>103</v>
      </c>
      <c r="J57" s="16" t="s">
        <v>15</v>
      </c>
      <c r="K57" s="16" t="s">
        <v>6609</v>
      </c>
    </row>
    <row r="58" spans="1:11" x14ac:dyDescent="0.3">
      <c r="A58" s="16">
        <v>57</v>
      </c>
      <c r="B58" s="16" t="s">
        <v>6414</v>
      </c>
      <c r="C58" s="16" t="str">
        <f>"S0057_Lamella_Inclined_Plate_Clarifier"</f>
        <v>S0057_Lamella_Inclined_Plate_Clarifier</v>
      </c>
      <c r="D58" s="16" t="s">
        <v>6610</v>
      </c>
      <c r="E58" s="16" t="s">
        <v>6467</v>
      </c>
      <c r="F58" s="16" t="s">
        <v>13</v>
      </c>
      <c r="G58" s="23">
        <v>44069</v>
      </c>
      <c r="H58" s="16" t="s">
        <v>6611</v>
      </c>
      <c r="I58" s="16" t="s">
        <v>6612</v>
      </c>
      <c r="J58" s="16" t="s">
        <v>15</v>
      </c>
      <c r="K58" s="16" t="s">
        <v>6613</v>
      </c>
    </row>
    <row r="59" spans="1:11" x14ac:dyDescent="0.3">
      <c r="A59" s="16">
        <v>58</v>
      </c>
      <c r="B59" s="16" t="s">
        <v>6414</v>
      </c>
      <c r="C59" s="16" t="str">
        <f>"S0058_Rain_Loads"</f>
        <v>S0058_Rain_Loads</v>
      </c>
      <c r="D59" s="16" t="s">
        <v>6614</v>
      </c>
      <c r="E59" s="16" t="s">
        <v>6615</v>
      </c>
      <c r="F59" s="16" t="s">
        <v>13</v>
      </c>
      <c r="G59" s="23">
        <v>44305</v>
      </c>
      <c r="H59" s="16" t="s">
        <v>6616</v>
      </c>
      <c r="I59" s="16" t="s">
        <v>64</v>
      </c>
      <c r="J59" s="16" t="s">
        <v>15</v>
      </c>
      <c r="K59" s="16" t="s">
        <v>6617</v>
      </c>
    </row>
    <row r="60" spans="1:11" x14ac:dyDescent="0.3">
      <c r="A60" s="16">
        <v>59</v>
      </c>
      <c r="B60" s="16" t="s">
        <v>6414</v>
      </c>
      <c r="C60" s="16" t="str">
        <f>"S0059_Oxidation_Ditch_Wastewater_Treatment_Calculations"</f>
        <v>S0059_Oxidation_Ditch_Wastewater_Treatment_Calculations</v>
      </c>
      <c r="D60" s="16" t="s">
        <v>6618</v>
      </c>
      <c r="E60" s="16" t="s">
        <v>6467</v>
      </c>
      <c r="F60" s="16" t="s">
        <v>13</v>
      </c>
      <c r="G60" s="23">
        <v>44306</v>
      </c>
      <c r="H60" s="16" t="s">
        <v>6619</v>
      </c>
      <c r="I60" s="16" t="s">
        <v>6418</v>
      </c>
      <c r="J60" s="16" t="s">
        <v>15</v>
      </c>
      <c r="K60" s="16" t="s">
        <v>6620</v>
      </c>
    </row>
    <row r="61" spans="1:11" x14ac:dyDescent="0.3">
      <c r="A61" s="16">
        <v>60</v>
      </c>
      <c r="B61" s="16" t="s">
        <v>6414</v>
      </c>
      <c r="C61" s="16" t="str">
        <f>"S0060_Ice_Loads"</f>
        <v>S0060_Ice_Loads</v>
      </c>
      <c r="D61" s="16" t="s">
        <v>6621</v>
      </c>
      <c r="E61" s="16" t="s">
        <v>6622</v>
      </c>
      <c r="F61" s="16" t="s">
        <v>13</v>
      </c>
      <c r="G61" s="23">
        <v>44364</v>
      </c>
      <c r="H61" s="16" t="s">
        <v>6623</v>
      </c>
      <c r="I61" s="16" t="s">
        <v>64</v>
      </c>
      <c r="J61" s="16" t="s">
        <v>15</v>
      </c>
      <c r="K61" s="16" t="s">
        <v>6624</v>
      </c>
    </row>
    <row r="62" spans="1:11" x14ac:dyDescent="0.3">
      <c r="A62" s="16">
        <v>61</v>
      </c>
      <c r="B62" s="16" t="s">
        <v>6414</v>
      </c>
      <c r="C62" s="16" t="str">
        <f>"S0061_Tsunami_Loads"</f>
        <v>S0061_Tsunami_Loads</v>
      </c>
      <c r="D62" s="16" t="s">
        <v>6625</v>
      </c>
      <c r="E62" s="16" t="s">
        <v>6622</v>
      </c>
      <c r="F62" s="16" t="s">
        <v>13</v>
      </c>
      <c r="G62" s="23">
        <v>44379</v>
      </c>
      <c r="H62" s="16" t="s">
        <v>6626</v>
      </c>
      <c r="I62" s="16" t="s">
        <v>2594</v>
      </c>
      <c r="J62" s="16" t="s">
        <v>15</v>
      </c>
      <c r="K62" s="16" t="s">
        <v>6627</v>
      </c>
    </row>
    <row r="63" spans="1:11" x14ac:dyDescent="0.3">
      <c r="A63" s="16">
        <v>62</v>
      </c>
      <c r="B63" s="16" t="s">
        <v>6414</v>
      </c>
      <c r="C63" s="16" t="str">
        <f>"S0062_Snow_Loads"</f>
        <v>S0062_Snow_Loads</v>
      </c>
      <c r="D63" s="16" t="s">
        <v>6628</v>
      </c>
      <c r="E63" s="16" t="s">
        <v>6622</v>
      </c>
      <c r="F63" s="16" t="s">
        <v>13</v>
      </c>
      <c r="G63" s="23">
        <v>44410</v>
      </c>
      <c r="H63" s="16" t="s">
        <v>6629</v>
      </c>
      <c r="I63" s="16" t="s">
        <v>64</v>
      </c>
      <c r="J63" s="16" t="s">
        <v>15</v>
      </c>
      <c r="K63" s="16" t="s">
        <v>6630</v>
      </c>
    </row>
    <row r="64" spans="1:11" x14ac:dyDescent="0.3">
      <c r="A64" s="16">
        <v>63</v>
      </c>
      <c r="B64" s="16" t="s">
        <v>6414</v>
      </c>
      <c r="C64" s="16" t="str">
        <f>"S0063_Flood_Loads"</f>
        <v>S0063_Flood_Loads</v>
      </c>
      <c r="D64" s="16" t="s">
        <v>6631</v>
      </c>
      <c r="E64" s="16" t="s">
        <v>6622</v>
      </c>
      <c r="F64" s="16" t="s">
        <v>13</v>
      </c>
      <c r="G64" s="23">
        <v>44411</v>
      </c>
      <c r="H64" s="16" t="s">
        <v>6632</v>
      </c>
      <c r="I64" s="16" t="s">
        <v>64</v>
      </c>
      <c r="J64" s="16" t="s">
        <v>15</v>
      </c>
      <c r="K64" s="16" t="s">
        <v>6633</v>
      </c>
    </row>
    <row r="65" spans="1:11" x14ac:dyDescent="0.3">
      <c r="A65" s="16">
        <v>64</v>
      </c>
      <c r="B65" s="16" t="s">
        <v>6414</v>
      </c>
      <c r="C65" s="16" t="str">
        <f>"S0064_Wind_Loads"</f>
        <v>S0064_Wind_Loads</v>
      </c>
      <c r="D65" s="16" t="s">
        <v>6634</v>
      </c>
      <c r="E65" s="16" t="s">
        <v>6622</v>
      </c>
      <c r="F65" s="16" t="s">
        <v>13</v>
      </c>
      <c r="G65" s="23">
        <v>44460</v>
      </c>
      <c r="H65" s="16" t="s">
        <v>6635</v>
      </c>
      <c r="I65" s="16" t="s">
        <v>6636</v>
      </c>
      <c r="J65" s="16" t="s">
        <v>15</v>
      </c>
      <c r="K65" s="16" t="s">
        <v>6637</v>
      </c>
    </row>
    <row r="66" spans="1:11" x14ac:dyDescent="0.3">
      <c r="A66" s="16">
        <v>65</v>
      </c>
      <c r="B66" s="16" t="s">
        <v>6414</v>
      </c>
      <c r="C66" s="16" t="str">
        <f>"S0065_Horizontal_Flow_Grit_Chamber_Design"</f>
        <v>S0065_Horizontal_Flow_Grit_Chamber_Design</v>
      </c>
      <c r="D66" s="16" t="s">
        <v>6638</v>
      </c>
      <c r="E66" s="16" t="s">
        <v>6639</v>
      </c>
      <c r="F66" s="16" t="s">
        <v>13</v>
      </c>
      <c r="G66" s="23">
        <v>44475</v>
      </c>
      <c r="H66" s="16" t="s">
        <v>6640</v>
      </c>
      <c r="I66" s="16" t="s">
        <v>6641</v>
      </c>
      <c r="J66" s="16" t="s">
        <v>15</v>
      </c>
      <c r="K66" s="16" t="s">
        <v>6642</v>
      </c>
    </row>
    <row r="67" spans="1:11" x14ac:dyDescent="0.3">
      <c r="A67" s="16">
        <v>66</v>
      </c>
      <c r="B67" s="16" t="s">
        <v>6414</v>
      </c>
      <c r="C67" s="16" t="str">
        <f>"S0066_Seismic_Loads"</f>
        <v>S0066_Seismic_Loads</v>
      </c>
      <c r="D67" s="16" t="s">
        <v>6643</v>
      </c>
      <c r="E67" s="16" t="s">
        <v>6615</v>
      </c>
      <c r="F67" s="16" t="s">
        <v>13</v>
      </c>
      <c r="G67" s="23">
        <v>44516</v>
      </c>
      <c r="H67" s="16" t="s">
        <v>6644</v>
      </c>
      <c r="I67" s="16" t="s">
        <v>36</v>
      </c>
      <c r="J67" s="16" t="s">
        <v>15</v>
      </c>
      <c r="K67" s="16" t="s">
        <v>6645</v>
      </c>
    </row>
    <row r="68" spans="1:11" x14ac:dyDescent="0.3">
      <c r="A68" s="16">
        <v>67</v>
      </c>
      <c r="B68" s="16" t="s">
        <v>6414</v>
      </c>
      <c r="C68" s="16" t="str">
        <f>"S0067_Wastewater_Screening_Calculations"</f>
        <v>S0067_Wastewater_Screening_Calculations</v>
      </c>
      <c r="D68" s="16" t="s">
        <v>6646</v>
      </c>
      <c r="E68" s="16" t="s">
        <v>6639</v>
      </c>
      <c r="F68" s="16" t="s">
        <v>13</v>
      </c>
      <c r="G68" s="23">
        <v>44530</v>
      </c>
      <c r="H68" s="16" t="s">
        <v>6647</v>
      </c>
      <c r="I68" s="16" t="s">
        <v>6648</v>
      </c>
      <c r="J68" s="16" t="s">
        <v>15</v>
      </c>
      <c r="K68" s="16" t="s">
        <v>6649</v>
      </c>
    </row>
    <row r="69" spans="1:11" x14ac:dyDescent="0.3">
      <c r="A69" s="16">
        <v>68</v>
      </c>
      <c r="B69" s="16" t="s">
        <v>6414</v>
      </c>
      <c r="C69" s="16" t="str">
        <f>"S0068_Pressure_Drop_for_Flow_through_a_Packed_Bed"</f>
        <v>S0068_Pressure_Drop_for_Flow_through_a_Packed_Bed</v>
      </c>
      <c r="D69" s="16" t="s">
        <v>6650</v>
      </c>
      <c r="E69" s="16" t="s">
        <v>6639</v>
      </c>
      <c r="F69" s="16" t="s">
        <v>13</v>
      </c>
      <c r="G69" s="23">
        <v>44698</v>
      </c>
      <c r="H69" s="16" t="s">
        <v>6651</v>
      </c>
      <c r="I69" s="16" t="s">
        <v>38</v>
      </c>
      <c r="J69" s="16" t="s">
        <v>15</v>
      </c>
      <c r="K69" s="16" t="s">
        <v>6652</v>
      </c>
    </row>
    <row r="70" spans="1:11" x14ac:dyDescent="0.3">
      <c r="A70" s="16">
        <v>69</v>
      </c>
      <c r="B70" s="16" t="s">
        <v>6414</v>
      </c>
      <c r="C70" s="16" t="str">
        <f>"S0069_Metal_Hydroxide_Precipitation_from_Wastewater"</f>
        <v>S0069_Metal_Hydroxide_Precipitation_from_Wastewater</v>
      </c>
      <c r="D70" s="16" t="s">
        <v>6653</v>
      </c>
      <c r="E70" s="16" t="s">
        <v>6639</v>
      </c>
      <c r="F70" s="16" t="s">
        <v>13</v>
      </c>
      <c r="G70" s="23">
        <v>44698</v>
      </c>
      <c r="H70" s="16" t="s">
        <v>6654</v>
      </c>
      <c r="I70" s="16" t="s">
        <v>6655</v>
      </c>
      <c r="J70" s="16" t="s">
        <v>15</v>
      </c>
      <c r="K70" s="16" t="s">
        <v>6656</v>
      </c>
    </row>
    <row r="71" spans="1:11" x14ac:dyDescent="0.3">
      <c r="A71" s="16">
        <v>70</v>
      </c>
      <c r="B71" s="16" t="s">
        <v>6414</v>
      </c>
      <c r="C71" s="16" t="str">
        <f>"S0070_Pressure_Vessel_Wall_Thickness_Calculations_ASME_Sec_VIII_Div_1_Based_on_External_Pressure"</f>
        <v>S0070_Pressure_Vessel_Wall_Thickness_Calculations_ASME_Sec_VIII_Div_1_Based_on_External_Pressure</v>
      </c>
      <c r="D71" s="16" t="s">
        <v>6657</v>
      </c>
      <c r="E71" s="16" t="s">
        <v>6658</v>
      </c>
      <c r="F71" s="16" t="s">
        <v>13</v>
      </c>
      <c r="G71" s="23">
        <v>44733</v>
      </c>
      <c r="H71" s="16" t="s">
        <v>6659</v>
      </c>
      <c r="I71" s="16" t="s">
        <v>136</v>
      </c>
      <c r="J71" s="16" t="s">
        <v>15</v>
      </c>
      <c r="K71" s="16" t="s">
        <v>6660</v>
      </c>
    </row>
    <row r="72" spans="1:11" x14ac:dyDescent="0.3">
      <c r="A72" s="16">
        <v>71</v>
      </c>
      <c r="B72" s="16" t="s">
        <v>6414</v>
      </c>
      <c r="C72" s="16" t="str">
        <f>"S0071_Basic_Transformer_Calculations"</f>
        <v>S0071_Basic_Transformer_Calculations</v>
      </c>
      <c r="D72" s="16" t="s">
        <v>6661</v>
      </c>
      <c r="E72" s="16" t="s">
        <v>6662</v>
      </c>
      <c r="F72" s="16" t="s">
        <v>13</v>
      </c>
      <c r="G72" s="23">
        <v>44737</v>
      </c>
      <c r="H72" s="16" t="s">
        <v>6663</v>
      </c>
      <c r="I72" s="16" t="s">
        <v>2186</v>
      </c>
      <c r="J72" s="16" t="s">
        <v>15</v>
      </c>
      <c r="K72" s="16" t="s">
        <v>6664</v>
      </c>
    </row>
    <row r="73" spans="1:11" x14ac:dyDescent="0.3">
      <c r="A73" s="16">
        <v>72</v>
      </c>
      <c r="B73" s="16" t="s">
        <v>6414</v>
      </c>
      <c r="C73" s="16" t="str">
        <f>"S0072_Pressure_Vessel_Wall_Thickness_Calculations_ASME_Sec_VIII_Div_1_Based_on_Internal_Pressure"</f>
        <v>S0072_Pressure_Vessel_Wall_Thickness_Calculations_ASME_Sec_VIII_Div_1_Based_on_Internal_Pressure</v>
      </c>
      <c r="D73" s="16" t="s">
        <v>6665</v>
      </c>
      <c r="E73" s="16" t="s">
        <v>6658</v>
      </c>
      <c r="F73" s="16" t="s">
        <v>13</v>
      </c>
      <c r="G73" s="23">
        <v>44754</v>
      </c>
      <c r="H73" s="16" t="s">
        <v>6659</v>
      </c>
      <c r="I73" s="16" t="s">
        <v>136</v>
      </c>
      <c r="J73" s="16" t="s">
        <v>15</v>
      </c>
      <c r="K73" s="16" t="s">
        <v>6666</v>
      </c>
    </row>
    <row r="74" spans="1:11" x14ac:dyDescent="0.3">
      <c r="A74" s="16">
        <v>73</v>
      </c>
      <c r="B74" s="16" t="s">
        <v>6414</v>
      </c>
      <c r="C74" s="16" t="str">
        <f>"S0073_Basic_Amplifier_Calculations"</f>
        <v>S0073_Basic_Amplifier_Calculations</v>
      </c>
      <c r="D74" s="16" t="s">
        <v>6667</v>
      </c>
      <c r="E74" s="16" t="s">
        <v>6662</v>
      </c>
      <c r="F74" s="16" t="s">
        <v>13</v>
      </c>
      <c r="G74" s="23">
        <v>44826</v>
      </c>
      <c r="H74" s="16" t="s">
        <v>6668</v>
      </c>
      <c r="I74" s="16" t="s">
        <v>2205</v>
      </c>
      <c r="J74" s="16" t="s">
        <v>15</v>
      </c>
      <c r="K74" s="16" t="s">
        <v>6669</v>
      </c>
    </row>
    <row r="75" spans="1:11" x14ac:dyDescent="0.3">
      <c r="A75" s="16">
        <v>74</v>
      </c>
      <c r="B75" s="16" t="s">
        <v>6414</v>
      </c>
      <c r="C75" s="16" t="str">
        <f>"S0074_Stormwater_Inlet_Capacity_Calculations"</f>
        <v>S0074_Stormwater_Inlet_Capacity_Calculations</v>
      </c>
      <c r="D75" s="16" t="s">
        <v>6670</v>
      </c>
      <c r="E75" s="16" t="s">
        <v>6639</v>
      </c>
      <c r="F75" s="16" t="s">
        <v>13</v>
      </c>
      <c r="G75" s="23">
        <v>44826</v>
      </c>
      <c r="H75" s="16" t="s">
        <v>6671</v>
      </c>
      <c r="I75" s="16" t="s">
        <v>4490</v>
      </c>
      <c r="J75" s="16" t="s">
        <v>15</v>
      </c>
      <c r="K75" s="16" t="s">
        <v>6672</v>
      </c>
    </row>
    <row r="76" spans="1:11" x14ac:dyDescent="0.3">
      <c r="A76" s="16">
        <v>75</v>
      </c>
      <c r="B76" s="16" t="s">
        <v>6414</v>
      </c>
      <c r="C76" s="16" t="str">
        <f>"S0075_Stormwater_Infiltration_Basin_Design_Calculations"</f>
        <v>S0075_Stormwater_Infiltration_Basin_Design_Calculations</v>
      </c>
      <c r="D76" s="16" t="s">
        <v>6673</v>
      </c>
      <c r="E76" s="16" t="s">
        <v>6639</v>
      </c>
      <c r="F76" s="16" t="s">
        <v>13</v>
      </c>
      <c r="G76" s="23">
        <v>44826</v>
      </c>
      <c r="H76" s="16" t="s">
        <v>6674</v>
      </c>
      <c r="I76" s="16" t="s">
        <v>6675</v>
      </c>
      <c r="J76" s="16" t="s">
        <v>15</v>
      </c>
      <c r="K76" s="16" t="s">
        <v>6676</v>
      </c>
    </row>
    <row r="77" spans="1:11" x14ac:dyDescent="0.3">
      <c r="A77" s="16">
        <v>76</v>
      </c>
      <c r="B77" s="16" t="s">
        <v>6414</v>
      </c>
      <c r="C77" s="16" t="str">
        <f>"S0076_Pressure_Vessel_Nozzle_Reinforcement_Calculations"</f>
        <v>S0076_Pressure_Vessel_Nozzle_Reinforcement_Calculations</v>
      </c>
      <c r="D77" s="16" t="s">
        <v>6677</v>
      </c>
      <c r="E77" s="16" t="s">
        <v>6658</v>
      </c>
      <c r="F77" s="16" t="s">
        <v>13</v>
      </c>
      <c r="G77" s="23">
        <v>44909</v>
      </c>
      <c r="H77" s="16" t="s">
        <v>6659</v>
      </c>
      <c r="I77" s="16" t="s">
        <v>136</v>
      </c>
      <c r="J77" s="16" t="s">
        <v>15</v>
      </c>
      <c r="K77" s="16" t="s">
        <v>6678</v>
      </c>
    </row>
    <row r="78" spans="1:11" x14ac:dyDescent="0.3">
      <c r="A78" s="16">
        <v>77</v>
      </c>
      <c r="B78" s="16" t="s">
        <v>6414</v>
      </c>
      <c r="C78" s="16" t="str">
        <f>"S0077_Design_Storm_Hyetograph_Generation"</f>
        <v>S0077_Design_Storm_Hyetograph_Generation</v>
      </c>
      <c r="D78" s="16" t="s">
        <v>6679</v>
      </c>
      <c r="E78" s="16" t="s">
        <v>6639</v>
      </c>
      <c r="F78" s="16" t="s">
        <v>13</v>
      </c>
      <c r="G78" s="23">
        <v>45029</v>
      </c>
      <c r="H78" s="16" t="s">
        <v>6680</v>
      </c>
      <c r="I78" s="16" t="s">
        <v>4105</v>
      </c>
      <c r="J78" s="16" t="s">
        <v>15</v>
      </c>
      <c r="K78" s="16" t="s">
        <v>6681</v>
      </c>
    </row>
    <row r="79" spans="1:11" x14ac:dyDescent="0.3">
      <c r="A79" s="16">
        <v>78</v>
      </c>
      <c r="B79" s="16" t="s">
        <v>6414</v>
      </c>
      <c r="C79" s="16" t="str">
        <f>"S0078_Flow_Equalization_Tank_Volume"</f>
        <v>S0078_Flow_Equalization_Tank_Volume</v>
      </c>
      <c r="D79" s="16" t="s">
        <v>6682</v>
      </c>
      <c r="E79" s="16" t="s">
        <v>6639</v>
      </c>
      <c r="F79" s="16" t="s">
        <v>13</v>
      </c>
      <c r="G79" s="23">
        <v>45029</v>
      </c>
      <c r="H79" s="16" t="s">
        <v>6683</v>
      </c>
      <c r="I79" s="16" t="s">
        <v>103</v>
      </c>
      <c r="J79" s="16" t="s">
        <v>15</v>
      </c>
      <c r="K79" s="16" t="s">
        <v>6684</v>
      </c>
    </row>
    <row r="80" spans="1:11" x14ac:dyDescent="0.3">
      <c r="A80" s="16">
        <v>79</v>
      </c>
      <c r="B80" s="16" t="s">
        <v>6414</v>
      </c>
      <c r="C80" s="16" t="str">
        <f>"S0079_Granulated_Activated_Carbon_Capacity_and_Lifetime"</f>
        <v>S0079_Granulated_Activated_Carbon_Capacity_and_Lifetime</v>
      </c>
      <c r="D80" s="16" t="s">
        <v>6685</v>
      </c>
      <c r="E80" s="16" t="s">
        <v>6639</v>
      </c>
      <c r="F80" s="16" t="s">
        <v>13</v>
      </c>
      <c r="G80" s="23">
        <v>45029</v>
      </c>
      <c r="H80" s="16" t="s">
        <v>6686</v>
      </c>
      <c r="I80" s="16" t="s">
        <v>6687</v>
      </c>
      <c r="J80" s="16" t="s">
        <v>15</v>
      </c>
      <c r="K80" s="16" t="s">
        <v>6688</v>
      </c>
    </row>
    <row r="81" spans="1:11" x14ac:dyDescent="0.3">
      <c r="A81" s="16">
        <v>80</v>
      </c>
      <c r="B81" s="16" t="s">
        <v>6414</v>
      </c>
      <c r="C81" s="16" t="str">
        <f>"S0080_Rain_Loads_2024_IBC_and_ASCE-SEI_7-22"</f>
        <v>S0080_Rain_Loads_2024_IBC_and_ASCE-SEI_7-22</v>
      </c>
      <c r="D81" s="16" t="s">
        <v>6689</v>
      </c>
      <c r="E81" s="16" t="s">
        <v>6615</v>
      </c>
      <c r="F81" s="16" t="s">
        <v>13</v>
      </c>
      <c r="G81" s="23">
        <v>45099</v>
      </c>
      <c r="H81" s="16" t="s">
        <v>6616</v>
      </c>
      <c r="I81" s="16" t="s">
        <v>64</v>
      </c>
      <c r="J81" s="16" t="s">
        <v>15</v>
      </c>
      <c r="K81" s="16" t="s">
        <v>6690</v>
      </c>
    </row>
    <row r="82" spans="1:11" x14ac:dyDescent="0.3">
      <c r="A82" s="16">
        <v>81</v>
      </c>
      <c r="B82" s="16" t="s">
        <v>6414</v>
      </c>
      <c r="C82" s="16" t="str">
        <f>"S0081_Ice_Loads_2024_IBC_and_ASCE-SEI_7-22"</f>
        <v>S0081_Ice_Loads_2024_IBC_and_ASCE-SEI_7-22</v>
      </c>
      <c r="D82" s="16" t="s">
        <v>6691</v>
      </c>
      <c r="E82" s="16" t="s">
        <v>6615</v>
      </c>
      <c r="F82" s="16" t="s">
        <v>13</v>
      </c>
      <c r="G82" s="23">
        <v>45099</v>
      </c>
      <c r="H82" s="16" t="s">
        <v>6623</v>
      </c>
      <c r="I82" s="16" t="s">
        <v>64</v>
      </c>
      <c r="J82" s="16" t="s">
        <v>15</v>
      </c>
      <c r="K82" s="16" t="s">
        <v>6692</v>
      </c>
    </row>
    <row r="83" spans="1:11" x14ac:dyDescent="0.3">
      <c r="A83" s="16">
        <v>82</v>
      </c>
      <c r="B83" s="16" t="s">
        <v>6414</v>
      </c>
      <c r="C83" s="16" t="str">
        <f>"S0082_Snow_Loads_2024_IBC_and_ASCE-SEI_7-22"</f>
        <v>S0082_Snow_Loads_2024_IBC_and_ASCE-SEI_7-22</v>
      </c>
      <c r="D83" s="16" t="s">
        <v>6693</v>
      </c>
      <c r="E83" s="16" t="s">
        <v>6615</v>
      </c>
      <c r="F83" s="16" t="s">
        <v>13</v>
      </c>
      <c r="G83" s="23">
        <v>45099</v>
      </c>
      <c r="H83" s="16" t="s">
        <v>6694</v>
      </c>
      <c r="I83" s="16" t="s">
        <v>64</v>
      </c>
      <c r="J83" s="16" t="s">
        <v>15</v>
      </c>
      <c r="K83" s="16" t="s">
        <v>6695</v>
      </c>
    </row>
    <row r="84" spans="1:11" x14ac:dyDescent="0.3">
      <c r="A84" s="16">
        <v>83</v>
      </c>
      <c r="B84" s="16" t="s">
        <v>6414</v>
      </c>
      <c r="C84" s="16" t="str">
        <f>"S0083_Tsunami_Loads_2024_IBC_and_ASCE-SEI_7-22"</f>
        <v>S0083_Tsunami_Loads_2024_IBC_and_ASCE-SEI_7-22</v>
      </c>
      <c r="D84" s="16" t="s">
        <v>6696</v>
      </c>
      <c r="E84" s="16" t="s">
        <v>6615</v>
      </c>
      <c r="F84" s="16" t="s">
        <v>13</v>
      </c>
      <c r="G84" s="23">
        <v>45099</v>
      </c>
      <c r="H84" s="16" t="s">
        <v>6626</v>
      </c>
      <c r="I84" s="16" t="s">
        <v>2594</v>
      </c>
      <c r="J84" s="16" t="s">
        <v>15</v>
      </c>
      <c r="K84" s="16" t="s">
        <v>6697</v>
      </c>
    </row>
    <row r="85" spans="1:11" x14ac:dyDescent="0.3">
      <c r="A85" s="16">
        <v>84</v>
      </c>
      <c r="B85" s="16" t="s">
        <v>6414</v>
      </c>
      <c r="C85" s="16" t="str">
        <f>"S0084_Flood_Loads_2024_IBC_and_ASCE-SEI_7-22"</f>
        <v>S0084_Flood_Loads_2024_IBC_and_ASCE-SEI_7-22</v>
      </c>
      <c r="D85" s="16" t="s">
        <v>6698</v>
      </c>
      <c r="E85" s="16" t="s">
        <v>6615</v>
      </c>
      <c r="F85" s="16" t="s">
        <v>13</v>
      </c>
      <c r="G85" s="23">
        <v>45099</v>
      </c>
      <c r="H85" s="16" t="s">
        <v>6632</v>
      </c>
      <c r="I85" s="16" t="s">
        <v>64</v>
      </c>
      <c r="J85" s="16" t="s">
        <v>15</v>
      </c>
      <c r="K85" s="16" t="s">
        <v>6699</v>
      </c>
    </row>
    <row r="86" spans="1:11" x14ac:dyDescent="0.3">
      <c r="A86" s="16">
        <v>85</v>
      </c>
      <c r="B86" s="16" t="s">
        <v>6414</v>
      </c>
      <c r="C86" s="16" t="str">
        <f>"S0085_Wind_Loads_2024_IBC_and_ASCE-SEI_7-22"</f>
        <v>S0085_Wind_Loads_2024_IBC_and_ASCE-SEI_7-22</v>
      </c>
      <c r="D86" s="16" t="s">
        <v>6700</v>
      </c>
      <c r="E86" s="16" t="s">
        <v>6615</v>
      </c>
      <c r="F86" s="16" t="s">
        <v>13</v>
      </c>
      <c r="G86" s="23">
        <v>45099</v>
      </c>
      <c r="H86" s="16" t="s">
        <v>6635</v>
      </c>
      <c r="I86" s="16" t="s">
        <v>6636</v>
      </c>
      <c r="J86" s="16" t="s">
        <v>15</v>
      </c>
      <c r="K86" s="16" t="s">
        <v>6701</v>
      </c>
    </row>
    <row r="87" spans="1:11" x14ac:dyDescent="0.3">
      <c r="A87" s="16">
        <v>86</v>
      </c>
      <c r="B87" s="16" t="s">
        <v>6414</v>
      </c>
      <c r="C87" s="16" t="str">
        <f>"S0086_Seismic_Loads_2024_IBC_and_ASCE-SEI_7-22"</f>
        <v>S0086_Seismic_Loads_2024_IBC_and_ASCE-SEI_7-22</v>
      </c>
      <c r="D87" s="16" t="s">
        <v>6702</v>
      </c>
      <c r="E87" s="16" t="s">
        <v>6615</v>
      </c>
      <c r="F87" s="16" t="s">
        <v>13</v>
      </c>
      <c r="G87" s="23">
        <v>45099</v>
      </c>
      <c r="H87" s="16" t="s">
        <v>6644</v>
      </c>
      <c r="I87" s="16" t="s">
        <v>36</v>
      </c>
      <c r="J87" s="16" t="s">
        <v>15</v>
      </c>
      <c r="K87" s="16" t="s">
        <v>6703</v>
      </c>
    </row>
    <row r="88" spans="1:11" x14ac:dyDescent="0.3">
      <c r="A88" s="16">
        <v>87</v>
      </c>
      <c r="B88" s="16" t="s">
        <v>6414</v>
      </c>
      <c r="C88" s="16" t="str">
        <f>"S0087_Flat_Plate_Solar_Thermal_Collector_Performance_Calculator"</f>
        <v>S0087_Flat_Plate_Solar_Thermal_Collector_Performance_Calculator</v>
      </c>
      <c r="D88" s="16" t="s">
        <v>6704</v>
      </c>
      <c r="E88" s="16" t="s">
        <v>6705</v>
      </c>
      <c r="F88" s="16" t="s">
        <v>13</v>
      </c>
      <c r="G88" s="23">
        <v>45720</v>
      </c>
      <c r="H88" s="16" t="s">
        <v>6706</v>
      </c>
      <c r="I88" s="16" t="s">
        <v>6707</v>
      </c>
      <c r="J88" s="16" t="s">
        <v>15</v>
      </c>
      <c r="K88" s="16" t="s">
        <v>6708</v>
      </c>
    </row>
    <row r="89" spans="1:11" x14ac:dyDescent="0.3">
      <c r="A89" s="16">
        <v>88</v>
      </c>
      <c r="B89" s="16" t="s">
        <v>6414</v>
      </c>
      <c r="C89" s="16" t="str">
        <f>"S0088_Energy_Production_from_a_Wind_Farm"</f>
        <v>S0088_Energy_Production_from_a_Wind_Farm</v>
      </c>
      <c r="D89" s="16" t="s">
        <v>6709</v>
      </c>
      <c r="E89" s="16" t="s">
        <v>6705</v>
      </c>
      <c r="F89" s="16" t="s">
        <v>13</v>
      </c>
      <c r="G89" s="23">
        <v>45784</v>
      </c>
      <c r="H89" s="16" t="s">
        <v>6710</v>
      </c>
      <c r="I89" s="16" t="s">
        <v>6711</v>
      </c>
      <c r="J89" s="16" t="s">
        <v>15</v>
      </c>
      <c r="K89" s="16" t="s">
        <v>6712</v>
      </c>
    </row>
    <row r="90" spans="1:11" x14ac:dyDescent="0.3">
      <c r="A90" s="16">
        <v>89</v>
      </c>
      <c r="B90" s="16" t="s">
        <v>6414</v>
      </c>
      <c r="C90" s="16" t="str">
        <f>"S0089_Photovoltaic_Equivalent_Circuit_Model_and_System_Performance"</f>
        <v>S0089_Photovoltaic_Equivalent_Circuit_Model_and_System_Performance</v>
      </c>
      <c r="D90" s="16" t="s">
        <v>6713</v>
      </c>
      <c r="E90" s="16" t="s">
        <v>6705</v>
      </c>
      <c r="F90" s="16" t="s">
        <v>13</v>
      </c>
      <c r="G90" s="23">
        <v>45827</v>
      </c>
      <c r="H90" s="16" t="s">
        <v>6714</v>
      </c>
      <c r="I90" s="16" t="s">
        <v>6715</v>
      </c>
      <c r="J90" s="16" t="s">
        <v>15</v>
      </c>
      <c r="K90" s="16" t="s">
        <v>6716</v>
      </c>
    </row>
    <row r="91" spans="1:11" x14ac:dyDescent="0.3">
      <c r="A91" s="16">
        <v>90</v>
      </c>
      <c r="B91" s="16" t="s">
        <v>6414</v>
      </c>
      <c r="C91" s="16" t="str">
        <f>"S0090_Levelized_Cost_of_Energy_LCOE_Calculator"</f>
        <v>S0090_Levelized_Cost_of_Energy_LCOE_Calculator</v>
      </c>
      <c r="D91" s="16" t="s">
        <v>6717</v>
      </c>
      <c r="E91" s="16" t="s">
        <v>6705</v>
      </c>
      <c r="F91" s="16" t="s">
        <v>13</v>
      </c>
      <c r="G91" s="23">
        <v>45919</v>
      </c>
      <c r="H91" s="16" t="s">
        <v>6718</v>
      </c>
      <c r="I91" s="16" t="s">
        <v>6719</v>
      </c>
      <c r="J91" s="16" t="s">
        <v>15</v>
      </c>
      <c r="K91" s="16" t="s">
        <v>6720</v>
      </c>
    </row>
  </sheetData>
  <hyperlinks>
    <hyperlink ref="K2" r:id="rId1" xr:uid="{9E3CF6EC-0CDE-48C8-9834-BEED444AF978}"/>
    <hyperlink ref="K3" r:id="rId2" xr:uid="{7F6BA62A-CE86-484C-B2CB-FA94B0A5A5A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90A6C-194F-4F3C-8D07-6BEEE0136600}">
  <dimension ref="A1:N4"/>
  <sheetViews>
    <sheetView workbookViewId="0">
      <selection activeCell="D10" sqref="D10"/>
    </sheetView>
  </sheetViews>
  <sheetFormatPr defaultRowHeight="14.4" x14ac:dyDescent="0.3"/>
  <cols>
    <col min="1" max="1" width="2" customWidth="1"/>
    <col min="2" max="2" width="8" customWidth="1"/>
    <col min="3" max="3" width="32.44140625" customWidth="1"/>
    <col min="4" max="4" width="54.21875" customWidth="1"/>
    <col min="6" max="6" width="22" customWidth="1"/>
    <col min="7" max="7" width="4.5546875" customWidth="1"/>
    <col min="8" max="8" width="10.109375" bestFit="1" customWidth="1"/>
    <col min="9" max="9" width="15.5546875" customWidth="1"/>
    <col min="10" max="10" width="25.77734375" customWidth="1"/>
    <col min="11" max="11" width="8.88671875" style="8"/>
    <col min="12" max="12" width="105.21875" customWidth="1"/>
  </cols>
  <sheetData>
    <row r="1" spans="1:14" s="13" customFormat="1" ht="34.799999999999997" customHeight="1" x14ac:dyDescent="0.3">
      <c r="A1" s="29"/>
      <c r="B1" s="30" t="s">
        <v>0</v>
      </c>
      <c r="C1" s="30" t="s">
        <v>1</v>
      </c>
      <c r="D1" s="30" t="s">
        <v>2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1" t="s">
        <v>10</v>
      </c>
      <c r="L1" s="30" t="s">
        <v>11</v>
      </c>
      <c r="M1" s="11" t="s">
        <v>12</v>
      </c>
      <c r="N1" s="12"/>
    </row>
    <row r="2" spans="1:14" x14ac:dyDescent="0.3">
      <c r="A2" s="16">
        <v>1</v>
      </c>
      <c r="B2" s="32" t="s">
        <v>6721</v>
      </c>
      <c r="C2" s="33" t="s">
        <v>8469</v>
      </c>
      <c r="D2" s="32" t="s">
        <v>6722</v>
      </c>
      <c r="E2" s="32" t="s">
        <v>6723</v>
      </c>
      <c r="F2" s="32" t="s">
        <v>13</v>
      </c>
      <c r="G2" s="32" t="s">
        <v>17</v>
      </c>
      <c r="H2" s="34">
        <v>41671</v>
      </c>
      <c r="I2" s="32" t="s">
        <v>6724</v>
      </c>
      <c r="J2" s="32" t="s">
        <v>38</v>
      </c>
      <c r="K2" s="35" t="s">
        <v>15</v>
      </c>
      <c r="L2" s="32" t="s">
        <v>6725</v>
      </c>
      <c r="M2" s="5" t="s">
        <v>17</v>
      </c>
      <c r="N2" s="4"/>
    </row>
    <row r="3" spans="1:14" x14ac:dyDescent="0.3">
      <c r="A3" s="16">
        <v>2</v>
      </c>
      <c r="B3" s="36" t="s">
        <v>6721</v>
      </c>
      <c r="C3" s="37" t="s">
        <v>8470</v>
      </c>
      <c r="D3" s="36" t="s">
        <v>6726</v>
      </c>
      <c r="E3" s="36" t="s">
        <v>6723</v>
      </c>
      <c r="F3" s="36" t="s">
        <v>13</v>
      </c>
      <c r="G3" s="36" t="s">
        <v>17</v>
      </c>
      <c r="H3" s="38">
        <v>41791</v>
      </c>
      <c r="I3" s="36" t="s">
        <v>6727</v>
      </c>
      <c r="J3" s="36" t="s">
        <v>38</v>
      </c>
      <c r="K3" s="39" t="s">
        <v>15</v>
      </c>
      <c r="L3" s="36" t="s">
        <v>6728</v>
      </c>
      <c r="M3" s="3" t="s">
        <v>17</v>
      </c>
    </row>
    <row r="4" spans="1:14" x14ac:dyDescent="0.3">
      <c r="A4" s="16">
        <v>3</v>
      </c>
      <c r="B4" s="36" t="s">
        <v>6721</v>
      </c>
      <c r="C4" s="37" t="s">
        <v>8471</v>
      </c>
      <c r="D4" s="36" t="s">
        <v>6729</v>
      </c>
      <c r="E4" s="36" t="s">
        <v>6639</v>
      </c>
      <c r="F4" s="36" t="s">
        <v>13</v>
      </c>
      <c r="G4" s="36" t="s">
        <v>17</v>
      </c>
      <c r="H4" s="38">
        <v>41671</v>
      </c>
      <c r="I4" s="36" t="s">
        <v>6730</v>
      </c>
      <c r="J4" s="36" t="s">
        <v>6534</v>
      </c>
      <c r="K4" s="39" t="s">
        <v>15</v>
      </c>
      <c r="L4" s="36" t="s">
        <v>6731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A539-F7CA-4A7E-895C-92FB6E304347}">
  <dimension ref="A1:N14"/>
  <sheetViews>
    <sheetView workbookViewId="0">
      <selection activeCell="D21" sqref="D21:D22"/>
    </sheetView>
  </sheetViews>
  <sheetFormatPr defaultRowHeight="14.4" x14ac:dyDescent="0.3"/>
  <cols>
    <col min="1" max="1" width="4.33203125" style="1" customWidth="1"/>
    <col min="2" max="2" width="12.109375" style="1" customWidth="1"/>
    <col min="3" max="3" width="36.88671875" style="1" customWidth="1"/>
    <col min="4" max="4" width="53.77734375" style="1" customWidth="1"/>
    <col min="5" max="5" width="6.5546875" style="7" customWidth="1"/>
    <col min="6" max="6" width="29.44140625" style="1" customWidth="1"/>
    <col min="7" max="7" width="23.21875" style="1" customWidth="1"/>
    <col min="8" max="8" width="6.44140625" style="1" customWidth="1"/>
    <col min="9" max="9" width="10.88671875" style="1" customWidth="1"/>
    <col min="10" max="10" width="27.44140625" style="1" customWidth="1"/>
    <col min="11" max="11" width="8.88671875" style="1"/>
    <col min="12" max="12" width="8.88671875" style="7"/>
    <col min="13" max="13" width="47.6640625" style="1" customWidth="1"/>
    <col min="14" max="16384" width="8.88671875" style="1"/>
  </cols>
  <sheetData>
    <row r="1" spans="1:14" s="9" customFormat="1" ht="53.4" customHeight="1" x14ac:dyDescent="0.3">
      <c r="A1" s="40"/>
      <c r="B1" s="40" t="s">
        <v>0</v>
      </c>
      <c r="C1" s="40" t="s">
        <v>1</v>
      </c>
      <c r="D1" s="40" t="s">
        <v>2</v>
      </c>
      <c r="E1" s="41" t="s">
        <v>3</v>
      </c>
      <c r="F1" s="40" t="s">
        <v>4</v>
      </c>
      <c r="G1" s="40" t="s">
        <v>5</v>
      </c>
      <c r="H1" s="40" t="s">
        <v>6</v>
      </c>
      <c r="I1" s="40" t="s">
        <v>7</v>
      </c>
      <c r="J1" s="40" t="s">
        <v>8</v>
      </c>
      <c r="K1" s="40" t="s">
        <v>9</v>
      </c>
      <c r="L1" s="41" t="s">
        <v>10</v>
      </c>
      <c r="M1" s="40" t="s">
        <v>11</v>
      </c>
      <c r="N1" s="25" t="s">
        <v>12</v>
      </c>
    </row>
    <row r="2" spans="1:14" x14ac:dyDescent="0.3">
      <c r="A2" s="42">
        <v>1</v>
      </c>
      <c r="B2" s="36" t="s">
        <v>6732</v>
      </c>
      <c r="C2" s="36" t="s">
        <v>8472</v>
      </c>
      <c r="D2" s="36" t="s">
        <v>6733</v>
      </c>
      <c r="E2" s="39"/>
      <c r="F2" s="36" t="s">
        <v>6734</v>
      </c>
      <c r="G2" s="36" t="s">
        <v>13</v>
      </c>
      <c r="H2" s="36" t="s">
        <v>17</v>
      </c>
      <c r="I2" s="38">
        <v>43929</v>
      </c>
      <c r="J2" s="36" t="s">
        <v>6735</v>
      </c>
      <c r="K2" s="36" t="s">
        <v>6736</v>
      </c>
      <c r="L2" s="39" t="s">
        <v>15</v>
      </c>
      <c r="M2" s="36" t="s">
        <v>6737</v>
      </c>
      <c r="N2" s="3" t="s">
        <v>17</v>
      </c>
    </row>
    <row r="3" spans="1:14" x14ac:dyDescent="0.3">
      <c r="A3" s="42">
        <v>2</v>
      </c>
      <c r="B3" s="36" t="s">
        <v>6732</v>
      </c>
      <c r="C3" s="36" t="s">
        <v>8473</v>
      </c>
      <c r="D3" s="36" t="s">
        <v>6738</v>
      </c>
      <c r="E3" s="39"/>
      <c r="F3" s="36" t="s">
        <v>6739</v>
      </c>
      <c r="G3" s="36" t="s">
        <v>13</v>
      </c>
      <c r="H3" s="36" t="s">
        <v>17</v>
      </c>
      <c r="I3" s="38">
        <v>43929</v>
      </c>
      <c r="J3" s="36" t="s">
        <v>6740</v>
      </c>
      <c r="K3" s="36" t="s">
        <v>6741</v>
      </c>
      <c r="L3" s="39" t="s">
        <v>15</v>
      </c>
      <c r="M3" s="36" t="s">
        <v>6742</v>
      </c>
      <c r="N3" s="3" t="s">
        <v>17</v>
      </c>
    </row>
    <row r="4" spans="1:14" x14ac:dyDescent="0.3">
      <c r="A4" s="42">
        <v>3</v>
      </c>
      <c r="B4" s="36" t="s">
        <v>6732</v>
      </c>
      <c r="C4" s="36" t="s">
        <v>8474</v>
      </c>
      <c r="D4" s="36" t="s">
        <v>6743</v>
      </c>
      <c r="E4" s="39"/>
      <c r="F4" s="36" t="s">
        <v>6744</v>
      </c>
      <c r="G4" s="36" t="s">
        <v>13</v>
      </c>
      <c r="H4" s="36" t="s">
        <v>17</v>
      </c>
      <c r="I4" s="38">
        <v>43929</v>
      </c>
      <c r="J4" s="36" t="s">
        <v>6745</v>
      </c>
      <c r="K4" s="36" t="s">
        <v>6746</v>
      </c>
      <c r="L4" s="39" t="s">
        <v>15</v>
      </c>
      <c r="M4" s="36" t="s">
        <v>6747</v>
      </c>
      <c r="N4" s="3" t="s">
        <v>17</v>
      </c>
    </row>
    <row r="5" spans="1:14" x14ac:dyDescent="0.3">
      <c r="A5" s="42">
        <v>4</v>
      </c>
      <c r="B5" s="36" t="s">
        <v>6732</v>
      </c>
      <c r="C5" s="36" t="s">
        <v>8475</v>
      </c>
      <c r="D5" s="36" t="s">
        <v>6748</v>
      </c>
      <c r="E5" s="39"/>
      <c r="F5" s="36" t="s">
        <v>6749</v>
      </c>
      <c r="G5" s="36" t="s">
        <v>13</v>
      </c>
      <c r="H5" s="36" t="s">
        <v>17</v>
      </c>
      <c r="I5" s="38">
        <v>43944</v>
      </c>
      <c r="J5" s="36" t="s">
        <v>6750</v>
      </c>
      <c r="K5" s="36" t="s">
        <v>6751</v>
      </c>
      <c r="L5" s="39" t="s">
        <v>15</v>
      </c>
      <c r="M5" s="36" t="s">
        <v>6752</v>
      </c>
      <c r="N5" s="3" t="s">
        <v>17</v>
      </c>
    </row>
    <row r="6" spans="1:14" x14ac:dyDescent="0.3">
      <c r="A6" s="42">
        <v>5</v>
      </c>
      <c r="B6" s="36" t="s">
        <v>6732</v>
      </c>
      <c r="C6" s="36" t="s">
        <v>8476</v>
      </c>
      <c r="D6" s="36" t="s">
        <v>6753</v>
      </c>
      <c r="E6" s="39"/>
      <c r="F6" s="36" t="s">
        <v>6754</v>
      </c>
      <c r="G6" s="36" t="s">
        <v>13</v>
      </c>
      <c r="H6" s="36" t="s">
        <v>17</v>
      </c>
      <c r="I6" s="38">
        <v>44131</v>
      </c>
      <c r="J6" s="36" t="s">
        <v>6755</v>
      </c>
      <c r="K6" s="36" t="s">
        <v>6756</v>
      </c>
      <c r="L6" s="39" t="s">
        <v>15</v>
      </c>
      <c r="M6" s="36" t="s">
        <v>6757</v>
      </c>
      <c r="N6" s="3" t="s">
        <v>17</v>
      </c>
    </row>
    <row r="7" spans="1:14" x14ac:dyDescent="0.3">
      <c r="A7" s="42">
        <v>6</v>
      </c>
      <c r="B7" s="36" t="s">
        <v>6732</v>
      </c>
      <c r="C7" s="36" t="s">
        <v>8477</v>
      </c>
      <c r="D7" s="36" t="s">
        <v>6758</v>
      </c>
      <c r="E7" s="39"/>
      <c r="F7" s="36" t="s">
        <v>6759</v>
      </c>
      <c r="G7" s="36" t="s">
        <v>13</v>
      </c>
      <c r="H7" s="36" t="s">
        <v>17</v>
      </c>
      <c r="I7" s="38">
        <v>44166</v>
      </c>
      <c r="J7" s="36" t="s">
        <v>6760</v>
      </c>
      <c r="K7" s="36" t="s">
        <v>2973</v>
      </c>
      <c r="L7" s="39" t="s">
        <v>15</v>
      </c>
      <c r="M7" s="36" t="s">
        <v>6761</v>
      </c>
      <c r="N7" s="3" t="s">
        <v>17</v>
      </c>
    </row>
    <row r="8" spans="1:14" x14ac:dyDescent="0.3">
      <c r="A8" s="42">
        <v>7</v>
      </c>
      <c r="B8" s="36" t="s">
        <v>6732</v>
      </c>
      <c r="C8" s="36" t="s">
        <v>8478</v>
      </c>
      <c r="D8" s="36" t="s">
        <v>6762</v>
      </c>
      <c r="E8" s="39"/>
      <c r="F8" s="36" t="s">
        <v>6763</v>
      </c>
      <c r="G8" s="36" t="s">
        <v>13</v>
      </c>
      <c r="H8" s="36" t="s">
        <v>17</v>
      </c>
      <c r="I8" s="38">
        <v>44167</v>
      </c>
      <c r="J8" s="36" t="s">
        <v>6764</v>
      </c>
      <c r="K8" s="36" t="s">
        <v>6765</v>
      </c>
      <c r="L8" s="39" t="s">
        <v>15</v>
      </c>
      <c r="M8" s="36" t="s">
        <v>6766</v>
      </c>
      <c r="N8" s="3" t="s">
        <v>17</v>
      </c>
    </row>
    <row r="9" spans="1:14" x14ac:dyDescent="0.3">
      <c r="A9" s="42">
        <v>8</v>
      </c>
      <c r="B9" s="36" t="s">
        <v>6732</v>
      </c>
      <c r="C9" s="36" t="s">
        <v>8479</v>
      </c>
      <c r="D9" s="36" t="s">
        <v>6767</v>
      </c>
      <c r="E9" s="39"/>
      <c r="F9" s="36" t="s">
        <v>6768</v>
      </c>
      <c r="G9" s="36" t="s">
        <v>13</v>
      </c>
      <c r="H9" s="36" t="s">
        <v>17</v>
      </c>
      <c r="I9" s="38">
        <v>44663</v>
      </c>
      <c r="J9" s="36" t="s">
        <v>6769</v>
      </c>
      <c r="K9" s="36" t="s">
        <v>6770</v>
      </c>
      <c r="L9" s="39" t="s">
        <v>15</v>
      </c>
      <c r="M9" s="36" t="s">
        <v>6771</v>
      </c>
      <c r="N9" s="3" t="s">
        <v>17</v>
      </c>
    </row>
    <row r="10" spans="1:14" x14ac:dyDescent="0.3">
      <c r="A10" s="42">
        <v>9</v>
      </c>
      <c r="B10" s="36" t="s">
        <v>6732</v>
      </c>
      <c r="C10" s="36" t="s">
        <v>8480</v>
      </c>
      <c r="D10" s="36" t="s">
        <v>6772</v>
      </c>
      <c r="E10" s="39"/>
      <c r="F10" s="36" t="s">
        <v>6773</v>
      </c>
      <c r="G10" s="36" t="s">
        <v>13</v>
      </c>
      <c r="H10" s="36" t="s">
        <v>17</v>
      </c>
      <c r="I10" s="38">
        <v>44848</v>
      </c>
      <c r="J10" s="36" t="s">
        <v>6774</v>
      </c>
      <c r="K10" s="36" t="s">
        <v>6775</v>
      </c>
      <c r="L10" s="39" t="s">
        <v>15</v>
      </c>
      <c r="M10" s="36" t="s">
        <v>6776</v>
      </c>
      <c r="N10" s="3" t="s">
        <v>17</v>
      </c>
    </row>
    <row r="11" spans="1:14" x14ac:dyDescent="0.3">
      <c r="A11" s="42">
        <v>10</v>
      </c>
      <c r="B11" s="36" t="s">
        <v>6732</v>
      </c>
      <c r="C11" s="36" t="s">
        <v>8481</v>
      </c>
      <c r="D11" s="36" t="s">
        <v>6777</v>
      </c>
      <c r="E11" s="39"/>
      <c r="F11" s="36" t="s">
        <v>6778</v>
      </c>
      <c r="G11" s="36" t="s">
        <v>13</v>
      </c>
      <c r="H11" s="36" t="s">
        <v>17</v>
      </c>
      <c r="I11" s="38">
        <v>45035</v>
      </c>
      <c r="J11" s="36" t="s">
        <v>6779</v>
      </c>
      <c r="K11" s="36" t="s">
        <v>6675</v>
      </c>
      <c r="L11" s="39" t="s">
        <v>15</v>
      </c>
      <c r="M11" s="36" t="s">
        <v>6780</v>
      </c>
      <c r="N11" s="3" t="s">
        <v>17</v>
      </c>
    </row>
    <row r="12" spans="1:14" x14ac:dyDescent="0.3">
      <c r="A12" s="42">
        <v>11</v>
      </c>
      <c r="B12" s="36" t="s">
        <v>6732</v>
      </c>
      <c r="C12" s="36" t="s">
        <v>8482</v>
      </c>
      <c r="D12" s="36" t="s">
        <v>6781</v>
      </c>
      <c r="E12" s="39"/>
      <c r="F12" s="36" t="s">
        <v>6782</v>
      </c>
      <c r="G12" s="36" t="s">
        <v>13</v>
      </c>
      <c r="H12" s="36" t="s">
        <v>17</v>
      </c>
      <c r="I12" s="38">
        <v>45379</v>
      </c>
      <c r="J12" s="36" t="s">
        <v>6783</v>
      </c>
      <c r="K12" s="36" t="s">
        <v>6784</v>
      </c>
      <c r="L12" s="39" t="s">
        <v>15</v>
      </c>
      <c r="M12" s="36" t="s">
        <v>6785</v>
      </c>
      <c r="N12" s="3" t="s">
        <v>17</v>
      </c>
    </row>
    <row r="13" spans="1:14" x14ac:dyDescent="0.3">
      <c r="A13" s="42">
        <v>12</v>
      </c>
      <c r="B13" s="43" t="s">
        <v>6732</v>
      </c>
      <c r="C13" s="43" t="s">
        <v>8483</v>
      </c>
      <c r="D13" s="43" t="s">
        <v>6786</v>
      </c>
      <c r="E13" s="39"/>
      <c r="F13" s="43" t="s">
        <v>6787</v>
      </c>
      <c r="G13" s="43" t="s">
        <v>13</v>
      </c>
      <c r="H13" s="43" t="s">
        <v>17</v>
      </c>
      <c r="I13" s="38">
        <v>45412</v>
      </c>
      <c r="J13" s="43" t="s">
        <v>6788</v>
      </c>
      <c r="K13" s="43" t="s">
        <v>2973</v>
      </c>
      <c r="L13" s="44" t="s">
        <v>15</v>
      </c>
      <c r="M13" s="43" t="s">
        <v>6789</v>
      </c>
      <c r="N13" s="6" t="s">
        <v>17</v>
      </c>
    </row>
    <row r="14" spans="1:14" x14ac:dyDescent="0.3">
      <c r="A14" s="42">
        <v>13</v>
      </c>
      <c r="B14" s="43" t="s">
        <v>6732</v>
      </c>
      <c r="C14" s="43" t="s">
        <v>8484</v>
      </c>
      <c r="D14" s="43" t="s">
        <v>6790</v>
      </c>
      <c r="E14" s="39"/>
      <c r="F14" s="43" t="s">
        <v>6778</v>
      </c>
      <c r="G14" s="43" t="s">
        <v>13</v>
      </c>
      <c r="H14" s="43" t="s">
        <v>17</v>
      </c>
      <c r="I14" s="38">
        <v>45412</v>
      </c>
      <c r="J14" s="43" t="s">
        <v>6791</v>
      </c>
      <c r="K14" s="43" t="s">
        <v>6675</v>
      </c>
      <c r="L14" s="44" t="s">
        <v>15</v>
      </c>
      <c r="M14" s="43" t="s">
        <v>6792</v>
      </c>
      <c r="N14" s="6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A90B-D27D-4143-B7FF-BE0D4805E79C}">
  <dimension ref="A1:N28"/>
  <sheetViews>
    <sheetView workbookViewId="0">
      <selection activeCell="D33" sqref="D33"/>
    </sheetView>
  </sheetViews>
  <sheetFormatPr defaultRowHeight="14.4" x14ac:dyDescent="0.3"/>
  <cols>
    <col min="1" max="1" width="4.33203125" customWidth="1"/>
    <col min="2" max="2" width="16.5546875" customWidth="1"/>
    <col min="3" max="3" width="31.5546875" customWidth="1"/>
    <col min="4" max="4" width="45.6640625" customWidth="1"/>
    <col min="6" max="6" width="16.21875" customWidth="1"/>
    <col min="7" max="7" width="23.44140625" customWidth="1"/>
    <col min="9" max="9" width="14.21875" style="8" customWidth="1"/>
    <col min="10" max="10" width="40.33203125" customWidth="1"/>
    <col min="11" max="11" width="19.21875" customWidth="1"/>
    <col min="12" max="12" width="8.88671875" style="8"/>
    <col min="13" max="13" width="38" customWidth="1"/>
  </cols>
  <sheetData>
    <row r="1" spans="1:14" s="10" customFormat="1" ht="46.8" customHeight="1" x14ac:dyDescent="0.3">
      <c r="A1" s="15"/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26" t="s">
        <v>7</v>
      </c>
      <c r="J1" s="15" t="s">
        <v>8</v>
      </c>
      <c r="K1" s="15" t="s">
        <v>9</v>
      </c>
      <c r="L1" s="26" t="s">
        <v>10</v>
      </c>
      <c r="M1" s="15" t="s">
        <v>11</v>
      </c>
      <c r="N1" s="10" t="s">
        <v>12</v>
      </c>
    </row>
    <row r="2" spans="1:14" x14ac:dyDescent="0.3">
      <c r="A2" s="16">
        <v>1</v>
      </c>
      <c r="B2" s="16" t="s">
        <v>6793</v>
      </c>
      <c r="C2" s="16" t="s">
        <v>8485</v>
      </c>
      <c r="D2" s="16" t="s">
        <v>6794</v>
      </c>
      <c r="E2" s="16" t="s">
        <v>17</v>
      </c>
      <c r="F2" s="16" t="s">
        <v>6795</v>
      </c>
      <c r="G2" s="16" t="s">
        <v>13</v>
      </c>
      <c r="H2" s="16" t="s">
        <v>17</v>
      </c>
      <c r="I2" s="27">
        <v>43312</v>
      </c>
      <c r="J2" s="16" t="s">
        <v>6796</v>
      </c>
      <c r="K2" s="16" t="s">
        <v>6797</v>
      </c>
      <c r="L2" s="28" t="s">
        <v>15</v>
      </c>
      <c r="M2" s="16" t="s">
        <v>6798</v>
      </c>
      <c r="N2" t="s">
        <v>17</v>
      </c>
    </row>
    <row r="3" spans="1:14" x14ac:dyDescent="0.3">
      <c r="A3" s="16">
        <v>2</v>
      </c>
      <c r="B3" s="16" t="s">
        <v>6793</v>
      </c>
      <c r="C3" s="16" t="s">
        <v>8486</v>
      </c>
      <c r="D3" s="16" t="s">
        <v>6799</v>
      </c>
      <c r="E3" s="16" t="s">
        <v>17</v>
      </c>
      <c r="F3" s="16" t="s">
        <v>6795</v>
      </c>
      <c r="G3" s="16" t="s">
        <v>13</v>
      </c>
      <c r="H3" s="16" t="s">
        <v>17</v>
      </c>
      <c r="I3" s="27">
        <v>43312</v>
      </c>
      <c r="J3" s="16" t="s">
        <v>6800</v>
      </c>
      <c r="K3" s="16" t="s">
        <v>6801</v>
      </c>
      <c r="L3" s="28" t="s">
        <v>15</v>
      </c>
      <c r="M3" s="16" t="s">
        <v>6802</v>
      </c>
      <c r="N3" t="s">
        <v>17</v>
      </c>
    </row>
    <row r="4" spans="1:14" x14ac:dyDescent="0.3">
      <c r="A4" s="16">
        <v>3</v>
      </c>
      <c r="B4" s="16" t="s">
        <v>6793</v>
      </c>
      <c r="C4" s="16" t="s">
        <v>8487</v>
      </c>
      <c r="D4" s="16" t="s">
        <v>6803</v>
      </c>
      <c r="E4" s="16" t="s">
        <v>17</v>
      </c>
      <c r="F4" s="16" t="s">
        <v>6795</v>
      </c>
      <c r="G4" s="16" t="s">
        <v>13</v>
      </c>
      <c r="H4" s="16" t="s">
        <v>17</v>
      </c>
      <c r="I4" s="27">
        <v>43312</v>
      </c>
      <c r="J4" s="16" t="s">
        <v>6804</v>
      </c>
      <c r="K4" s="16" t="s">
        <v>201</v>
      </c>
      <c r="L4" s="28" t="s">
        <v>15</v>
      </c>
      <c r="M4" s="16" t="s">
        <v>6805</v>
      </c>
      <c r="N4" t="s">
        <v>17</v>
      </c>
    </row>
    <row r="5" spans="1:14" x14ac:dyDescent="0.3">
      <c r="A5" s="16">
        <v>4</v>
      </c>
      <c r="B5" s="16" t="s">
        <v>6793</v>
      </c>
      <c r="C5" s="16" t="s">
        <v>8488</v>
      </c>
      <c r="D5" s="16" t="s">
        <v>6806</v>
      </c>
      <c r="E5" s="16" t="s">
        <v>17</v>
      </c>
      <c r="F5" s="16" t="s">
        <v>6795</v>
      </c>
      <c r="G5" s="16" t="s">
        <v>13</v>
      </c>
      <c r="H5" s="16" t="s">
        <v>17</v>
      </c>
      <c r="I5" s="27">
        <v>43312</v>
      </c>
      <c r="J5" s="16" t="s">
        <v>6807</v>
      </c>
      <c r="K5" s="16" t="s">
        <v>6219</v>
      </c>
      <c r="L5" s="28" t="s">
        <v>15</v>
      </c>
      <c r="M5" s="16" t="s">
        <v>6808</v>
      </c>
      <c r="N5" t="s">
        <v>17</v>
      </c>
    </row>
    <row r="6" spans="1:14" x14ac:dyDescent="0.3">
      <c r="A6" s="16">
        <v>5</v>
      </c>
      <c r="B6" s="16" t="s">
        <v>6793</v>
      </c>
      <c r="C6" s="16" t="s">
        <v>8489</v>
      </c>
      <c r="D6" s="16" t="s">
        <v>6809</v>
      </c>
      <c r="E6" s="16" t="s">
        <v>17</v>
      </c>
      <c r="F6" s="16" t="s">
        <v>6795</v>
      </c>
      <c r="G6" s="16" t="s">
        <v>13</v>
      </c>
      <c r="H6" s="16" t="s">
        <v>17</v>
      </c>
      <c r="I6" s="27">
        <v>43312</v>
      </c>
      <c r="J6" s="16" t="s">
        <v>6810</v>
      </c>
      <c r="K6" s="16" t="s">
        <v>201</v>
      </c>
      <c r="L6" s="28" t="s">
        <v>15</v>
      </c>
      <c r="M6" s="16" t="s">
        <v>6811</v>
      </c>
      <c r="N6" t="s">
        <v>17</v>
      </c>
    </row>
    <row r="7" spans="1:14" x14ac:dyDescent="0.3">
      <c r="A7" s="16">
        <v>6</v>
      </c>
      <c r="B7" s="16" t="s">
        <v>6793</v>
      </c>
      <c r="C7" s="16" t="s">
        <v>8490</v>
      </c>
      <c r="D7" s="16" t="s">
        <v>6812</v>
      </c>
      <c r="E7" s="16" t="s">
        <v>17</v>
      </c>
      <c r="F7" s="16" t="s">
        <v>6795</v>
      </c>
      <c r="G7" s="16" t="s">
        <v>13</v>
      </c>
      <c r="H7" s="16" t="s">
        <v>17</v>
      </c>
      <c r="I7" s="27">
        <v>43312</v>
      </c>
      <c r="J7" s="16" t="s">
        <v>6813</v>
      </c>
      <c r="K7" s="16" t="s">
        <v>6814</v>
      </c>
      <c r="L7" s="28" t="s">
        <v>15</v>
      </c>
      <c r="M7" s="16" t="s">
        <v>6815</v>
      </c>
      <c r="N7" t="s">
        <v>17</v>
      </c>
    </row>
    <row r="8" spans="1:14" x14ac:dyDescent="0.3">
      <c r="A8" s="16">
        <v>7</v>
      </c>
      <c r="B8" s="16" t="s">
        <v>6793</v>
      </c>
      <c r="C8" s="16" t="s">
        <v>8491</v>
      </c>
      <c r="D8" s="16" t="s">
        <v>6816</v>
      </c>
      <c r="E8" s="16" t="s">
        <v>17</v>
      </c>
      <c r="F8" s="16" t="s">
        <v>6795</v>
      </c>
      <c r="G8" s="16" t="s">
        <v>13</v>
      </c>
      <c r="H8" s="16" t="s">
        <v>17</v>
      </c>
      <c r="I8" s="27">
        <v>43312</v>
      </c>
      <c r="J8" s="16" t="s">
        <v>6817</v>
      </c>
      <c r="K8" s="16" t="s">
        <v>6219</v>
      </c>
      <c r="L8" s="28" t="s">
        <v>15</v>
      </c>
      <c r="M8" s="16" t="s">
        <v>6818</v>
      </c>
      <c r="N8" t="s">
        <v>17</v>
      </c>
    </row>
    <row r="9" spans="1:14" x14ac:dyDescent="0.3">
      <c r="A9" s="16">
        <v>8</v>
      </c>
      <c r="B9" s="16" t="s">
        <v>6793</v>
      </c>
      <c r="C9" s="16" t="s">
        <v>8492</v>
      </c>
      <c r="D9" s="16" t="s">
        <v>6819</v>
      </c>
      <c r="E9" s="16" t="s">
        <v>17</v>
      </c>
      <c r="F9" s="16" t="s">
        <v>6795</v>
      </c>
      <c r="G9" s="16" t="s">
        <v>13</v>
      </c>
      <c r="H9" s="16" t="s">
        <v>17</v>
      </c>
      <c r="I9" s="27">
        <v>43312</v>
      </c>
      <c r="J9" s="16" t="s">
        <v>6820</v>
      </c>
      <c r="K9" s="16" t="s">
        <v>6821</v>
      </c>
      <c r="L9" s="28" t="s">
        <v>15</v>
      </c>
      <c r="M9" s="16" t="s">
        <v>6822</v>
      </c>
      <c r="N9" t="s">
        <v>17</v>
      </c>
    </row>
    <row r="10" spans="1:14" x14ac:dyDescent="0.3">
      <c r="A10" s="16">
        <v>9</v>
      </c>
      <c r="B10" s="16" t="s">
        <v>6793</v>
      </c>
      <c r="C10" s="16" t="s">
        <v>8493</v>
      </c>
      <c r="D10" s="16" t="s">
        <v>6823</v>
      </c>
      <c r="E10" s="16" t="s">
        <v>17</v>
      </c>
      <c r="F10" s="16" t="s">
        <v>6795</v>
      </c>
      <c r="G10" s="16" t="s">
        <v>13</v>
      </c>
      <c r="H10" s="16" t="s">
        <v>17</v>
      </c>
      <c r="I10" s="27">
        <v>43312</v>
      </c>
      <c r="J10" s="16" t="s">
        <v>6824</v>
      </c>
      <c r="K10" s="16" t="s">
        <v>201</v>
      </c>
      <c r="L10" s="28" t="s">
        <v>15</v>
      </c>
      <c r="M10" s="16" t="s">
        <v>6825</v>
      </c>
      <c r="N10" t="s">
        <v>17</v>
      </c>
    </row>
    <row r="11" spans="1:14" x14ac:dyDescent="0.3">
      <c r="A11" s="16">
        <v>10</v>
      </c>
      <c r="B11" s="16" t="s">
        <v>6793</v>
      </c>
      <c r="C11" s="16" t="s">
        <v>8494</v>
      </c>
      <c r="D11" s="16" t="s">
        <v>6826</v>
      </c>
      <c r="E11" s="16" t="s">
        <v>17</v>
      </c>
      <c r="F11" s="16" t="s">
        <v>6795</v>
      </c>
      <c r="G11" s="16" t="s">
        <v>13</v>
      </c>
      <c r="H11" s="16" t="s">
        <v>17</v>
      </c>
      <c r="I11" s="27">
        <v>43312</v>
      </c>
      <c r="J11" s="16" t="s">
        <v>6827</v>
      </c>
      <c r="K11" s="16" t="s">
        <v>6828</v>
      </c>
      <c r="L11" s="28" t="s">
        <v>15</v>
      </c>
      <c r="M11" s="16" t="s">
        <v>6829</v>
      </c>
      <c r="N11" t="s">
        <v>17</v>
      </c>
    </row>
    <row r="12" spans="1:14" x14ac:dyDescent="0.3">
      <c r="A12" s="16">
        <v>11</v>
      </c>
      <c r="B12" s="16" t="s">
        <v>6793</v>
      </c>
      <c r="C12" s="16" t="s">
        <v>8495</v>
      </c>
      <c r="D12" s="16" t="s">
        <v>6830</v>
      </c>
      <c r="E12" s="16" t="s">
        <v>17</v>
      </c>
      <c r="F12" s="16" t="s">
        <v>6795</v>
      </c>
      <c r="G12" s="16" t="s">
        <v>13</v>
      </c>
      <c r="H12" s="16" t="s">
        <v>17</v>
      </c>
      <c r="I12" s="27">
        <v>43356</v>
      </c>
      <c r="J12" s="16" t="s">
        <v>6831</v>
      </c>
      <c r="K12" s="16" t="s">
        <v>201</v>
      </c>
      <c r="L12" s="28" t="s">
        <v>15</v>
      </c>
      <c r="M12" s="16" t="s">
        <v>6832</v>
      </c>
      <c r="N12" t="s">
        <v>17</v>
      </c>
    </row>
    <row r="13" spans="1:14" x14ac:dyDescent="0.3">
      <c r="A13" s="16">
        <v>12</v>
      </c>
      <c r="B13" s="16" t="s">
        <v>6793</v>
      </c>
      <c r="C13" s="16" t="s">
        <v>8496</v>
      </c>
      <c r="D13" s="16" t="s">
        <v>6833</v>
      </c>
      <c r="E13" s="16" t="s">
        <v>17</v>
      </c>
      <c r="F13" s="16" t="s">
        <v>2562</v>
      </c>
      <c r="G13" s="16" t="s">
        <v>13</v>
      </c>
      <c r="H13" s="16" t="s">
        <v>17</v>
      </c>
      <c r="I13" s="27">
        <v>43356</v>
      </c>
      <c r="J13" s="16" t="s">
        <v>6834</v>
      </c>
      <c r="K13" s="16" t="s">
        <v>6835</v>
      </c>
      <c r="L13" s="28" t="s">
        <v>15</v>
      </c>
      <c r="M13" s="16" t="s">
        <v>6836</v>
      </c>
      <c r="N13" t="s">
        <v>17</v>
      </c>
    </row>
    <row r="14" spans="1:14" x14ac:dyDescent="0.3">
      <c r="A14" s="16">
        <v>13</v>
      </c>
      <c r="B14" s="16" t="s">
        <v>6793</v>
      </c>
      <c r="C14" s="16" t="s">
        <v>8497</v>
      </c>
      <c r="D14" s="16" t="s">
        <v>6837</v>
      </c>
      <c r="E14" s="16" t="s">
        <v>17</v>
      </c>
      <c r="F14" s="16" t="s">
        <v>6795</v>
      </c>
      <c r="G14" s="16" t="s">
        <v>13</v>
      </c>
      <c r="H14" s="16" t="s">
        <v>17</v>
      </c>
      <c r="I14" s="27">
        <v>43356</v>
      </c>
      <c r="J14" s="16" t="s">
        <v>6838</v>
      </c>
      <c r="K14" s="16" t="s">
        <v>6839</v>
      </c>
      <c r="L14" s="28" t="s">
        <v>15</v>
      </c>
      <c r="M14" s="16" t="s">
        <v>6840</v>
      </c>
      <c r="N14" t="s">
        <v>17</v>
      </c>
    </row>
    <row r="15" spans="1:14" x14ac:dyDescent="0.3">
      <c r="A15" s="16">
        <v>14</v>
      </c>
      <c r="B15" s="16" t="s">
        <v>6793</v>
      </c>
      <c r="C15" s="16" t="s">
        <v>8498</v>
      </c>
      <c r="D15" s="16" t="s">
        <v>6841</v>
      </c>
      <c r="E15" s="16" t="s">
        <v>17</v>
      </c>
      <c r="F15" s="16" t="s">
        <v>6842</v>
      </c>
      <c r="G15" s="16" t="s">
        <v>13</v>
      </c>
      <c r="H15" s="16" t="s">
        <v>17</v>
      </c>
      <c r="I15" s="27">
        <v>43356</v>
      </c>
      <c r="J15" s="16" t="s">
        <v>6843</v>
      </c>
      <c r="K15" s="16" t="s">
        <v>1117</v>
      </c>
      <c r="L15" s="28" t="s">
        <v>15</v>
      </c>
      <c r="M15" s="16" t="s">
        <v>6844</v>
      </c>
      <c r="N15" t="s">
        <v>17</v>
      </c>
    </row>
    <row r="16" spans="1:14" x14ac:dyDescent="0.3">
      <c r="A16" s="16">
        <v>15</v>
      </c>
      <c r="B16" s="16" t="s">
        <v>6793</v>
      </c>
      <c r="C16" s="16" t="s">
        <v>8499</v>
      </c>
      <c r="D16" s="16" t="s">
        <v>6845</v>
      </c>
      <c r="E16" s="16" t="s">
        <v>17</v>
      </c>
      <c r="F16" s="16" t="s">
        <v>6842</v>
      </c>
      <c r="G16" s="16" t="s">
        <v>13</v>
      </c>
      <c r="H16" s="16" t="s">
        <v>17</v>
      </c>
      <c r="I16" s="27">
        <v>43356</v>
      </c>
      <c r="J16" s="16" t="s">
        <v>6846</v>
      </c>
      <c r="K16" s="16" t="s">
        <v>1117</v>
      </c>
      <c r="L16" s="28" t="s">
        <v>15</v>
      </c>
      <c r="M16" s="16" t="s">
        <v>6847</v>
      </c>
      <c r="N16" t="s">
        <v>17</v>
      </c>
    </row>
    <row r="17" spans="1:14" x14ac:dyDescent="0.3">
      <c r="A17" s="16">
        <v>16</v>
      </c>
      <c r="B17" s="16" t="s">
        <v>6793</v>
      </c>
      <c r="C17" s="16" t="s">
        <v>8500</v>
      </c>
      <c r="D17" s="16" t="s">
        <v>6848</v>
      </c>
      <c r="E17" s="16" t="s">
        <v>17</v>
      </c>
      <c r="F17" s="16" t="s">
        <v>6849</v>
      </c>
      <c r="G17" s="16" t="s">
        <v>13</v>
      </c>
      <c r="H17" s="16" t="s">
        <v>17</v>
      </c>
      <c r="I17" s="27">
        <v>43356</v>
      </c>
      <c r="J17" s="16" t="s">
        <v>6850</v>
      </c>
      <c r="K17" s="16" t="s">
        <v>647</v>
      </c>
      <c r="L17" s="28" t="s">
        <v>15</v>
      </c>
      <c r="M17" s="16" t="s">
        <v>6851</v>
      </c>
      <c r="N17" t="s">
        <v>17</v>
      </c>
    </row>
    <row r="18" spans="1:14" x14ac:dyDescent="0.3">
      <c r="A18" s="16">
        <v>17</v>
      </c>
      <c r="B18" s="16" t="s">
        <v>6793</v>
      </c>
      <c r="C18" s="16" t="s">
        <v>8501</v>
      </c>
      <c r="D18" s="16" t="s">
        <v>6852</v>
      </c>
      <c r="E18" s="16" t="s">
        <v>17</v>
      </c>
      <c r="F18" s="16" t="s">
        <v>6849</v>
      </c>
      <c r="G18" s="16" t="s">
        <v>13</v>
      </c>
      <c r="H18" s="16" t="s">
        <v>17</v>
      </c>
      <c r="I18" s="27">
        <v>43356</v>
      </c>
      <c r="J18" s="16" t="s">
        <v>6853</v>
      </c>
      <c r="K18" s="16" t="s">
        <v>6854</v>
      </c>
      <c r="L18" s="28" t="s">
        <v>15</v>
      </c>
      <c r="M18" s="16" t="s">
        <v>6855</v>
      </c>
      <c r="N18" t="s">
        <v>17</v>
      </c>
    </row>
    <row r="19" spans="1:14" x14ac:dyDescent="0.3">
      <c r="A19" s="16">
        <v>18</v>
      </c>
      <c r="B19" s="16" t="s">
        <v>6793</v>
      </c>
      <c r="C19" s="16" t="s">
        <v>8502</v>
      </c>
      <c r="D19" s="16" t="s">
        <v>6856</v>
      </c>
      <c r="E19" s="16" t="s">
        <v>17</v>
      </c>
      <c r="F19" s="16" t="s">
        <v>6857</v>
      </c>
      <c r="G19" s="16" t="s">
        <v>13</v>
      </c>
      <c r="H19" s="16" t="s">
        <v>17</v>
      </c>
      <c r="I19" s="27">
        <v>43429</v>
      </c>
      <c r="J19" s="16" t="s">
        <v>6858</v>
      </c>
      <c r="K19" s="16" t="s">
        <v>6859</v>
      </c>
      <c r="L19" s="28" t="s">
        <v>15</v>
      </c>
      <c r="M19" s="16" t="s">
        <v>6860</v>
      </c>
      <c r="N19" t="s">
        <v>17</v>
      </c>
    </row>
    <row r="20" spans="1:14" x14ac:dyDescent="0.3">
      <c r="A20" s="16">
        <v>19</v>
      </c>
      <c r="B20" s="16" t="s">
        <v>6793</v>
      </c>
      <c r="C20" s="16" t="s">
        <v>8503</v>
      </c>
      <c r="D20" s="16" t="s">
        <v>6861</v>
      </c>
      <c r="E20" s="16" t="s">
        <v>17</v>
      </c>
      <c r="F20" s="16" t="s">
        <v>6857</v>
      </c>
      <c r="G20" s="16" t="s">
        <v>13</v>
      </c>
      <c r="H20" s="16" t="s">
        <v>17</v>
      </c>
      <c r="I20" s="27">
        <v>43429</v>
      </c>
      <c r="J20" s="16" t="s">
        <v>6862</v>
      </c>
      <c r="K20" s="16" t="s">
        <v>6863</v>
      </c>
      <c r="L20" s="28" t="s">
        <v>15</v>
      </c>
      <c r="M20" s="16" t="s">
        <v>6864</v>
      </c>
      <c r="N20" t="s">
        <v>17</v>
      </c>
    </row>
    <row r="21" spans="1:14" x14ac:dyDescent="0.3">
      <c r="A21" s="16">
        <v>20</v>
      </c>
      <c r="B21" s="16" t="s">
        <v>6793</v>
      </c>
      <c r="C21" s="16" t="s">
        <v>8504</v>
      </c>
      <c r="D21" s="16" t="s">
        <v>6865</v>
      </c>
      <c r="E21" s="16" t="s">
        <v>17</v>
      </c>
      <c r="F21" s="16" t="s">
        <v>6857</v>
      </c>
      <c r="G21" s="16" t="s">
        <v>13</v>
      </c>
      <c r="H21" s="16" t="s">
        <v>17</v>
      </c>
      <c r="I21" s="27">
        <v>43429</v>
      </c>
      <c r="J21" s="16" t="s">
        <v>6866</v>
      </c>
      <c r="K21" s="16" t="s">
        <v>5394</v>
      </c>
      <c r="L21" s="28" t="s">
        <v>15</v>
      </c>
      <c r="M21" s="16" t="s">
        <v>6867</v>
      </c>
      <c r="N21" t="s">
        <v>17</v>
      </c>
    </row>
    <row r="22" spans="1:14" x14ac:dyDescent="0.3">
      <c r="A22" s="16">
        <v>21</v>
      </c>
      <c r="B22" s="16" t="s">
        <v>6793</v>
      </c>
      <c r="C22" s="16" t="s">
        <v>8505</v>
      </c>
      <c r="D22" s="16" t="s">
        <v>6868</v>
      </c>
      <c r="E22" s="16" t="s">
        <v>17</v>
      </c>
      <c r="F22" s="16" t="s">
        <v>6857</v>
      </c>
      <c r="G22" s="16" t="s">
        <v>13</v>
      </c>
      <c r="H22" s="16" t="s">
        <v>17</v>
      </c>
      <c r="I22" s="27">
        <v>43429</v>
      </c>
      <c r="J22" s="16" t="s">
        <v>6869</v>
      </c>
      <c r="K22" s="16" t="s">
        <v>6870</v>
      </c>
      <c r="L22" s="28" t="s">
        <v>15</v>
      </c>
      <c r="M22" s="16" t="s">
        <v>6871</v>
      </c>
      <c r="N22" t="s">
        <v>17</v>
      </c>
    </row>
    <row r="23" spans="1:14" x14ac:dyDescent="0.3">
      <c r="A23" s="16">
        <v>22</v>
      </c>
      <c r="B23" s="16" t="s">
        <v>6793</v>
      </c>
      <c r="C23" s="16" t="s">
        <v>8506</v>
      </c>
      <c r="D23" s="16" t="s">
        <v>6872</v>
      </c>
      <c r="E23" s="16" t="s">
        <v>17</v>
      </c>
      <c r="F23" s="16" t="s">
        <v>6857</v>
      </c>
      <c r="G23" s="16" t="s">
        <v>13</v>
      </c>
      <c r="H23" s="16" t="s">
        <v>17</v>
      </c>
      <c r="I23" s="27">
        <v>43429</v>
      </c>
      <c r="J23" s="16" t="s">
        <v>6873</v>
      </c>
      <c r="K23" s="16" t="s">
        <v>6874</v>
      </c>
      <c r="L23" s="28" t="s">
        <v>15</v>
      </c>
      <c r="M23" s="16" t="s">
        <v>6875</v>
      </c>
      <c r="N23" t="s">
        <v>17</v>
      </c>
    </row>
    <row r="24" spans="1:14" x14ac:dyDescent="0.3">
      <c r="A24" s="16">
        <v>23</v>
      </c>
      <c r="B24" s="16" t="s">
        <v>6793</v>
      </c>
      <c r="C24" s="16" t="s">
        <v>8507</v>
      </c>
      <c r="D24" s="16" t="s">
        <v>6876</v>
      </c>
      <c r="E24" s="16" t="s">
        <v>17</v>
      </c>
      <c r="F24" s="16" t="s">
        <v>6857</v>
      </c>
      <c r="G24" s="16" t="s">
        <v>13</v>
      </c>
      <c r="H24" s="16" t="s">
        <v>17</v>
      </c>
      <c r="I24" s="27">
        <v>43429</v>
      </c>
      <c r="J24" s="16" t="s">
        <v>6877</v>
      </c>
      <c r="K24" s="16" t="s">
        <v>6878</v>
      </c>
      <c r="L24" s="28" t="s">
        <v>15</v>
      </c>
      <c r="M24" s="16" t="s">
        <v>6879</v>
      </c>
      <c r="N24" t="s">
        <v>17</v>
      </c>
    </row>
    <row r="25" spans="1:14" x14ac:dyDescent="0.3">
      <c r="A25" s="16">
        <v>24</v>
      </c>
      <c r="B25" s="16" t="s">
        <v>6793</v>
      </c>
      <c r="C25" s="16" t="s">
        <v>8508</v>
      </c>
      <c r="D25" s="16" t="s">
        <v>6880</v>
      </c>
      <c r="E25" s="16" t="s">
        <v>17</v>
      </c>
      <c r="F25" s="16" t="s">
        <v>6857</v>
      </c>
      <c r="G25" s="16" t="s">
        <v>13</v>
      </c>
      <c r="H25" s="16" t="s">
        <v>17</v>
      </c>
      <c r="I25" s="27">
        <v>43429</v>
      </c>
      <c r="J25" s="16" t="s">
        <v>6881</v>
      </c>
      <c r="K25" s="16" t="s">
        <v>6219</v>
      </c>
      <c r="L25" s="28" t="s">
        <v>15</v>
      </c>
      <c r="M25" s="16" t="s">
        <v>6882</v>
      </c>
      <c r="N25" t="s">
        <v>17</v>
      </c>
    </row>
    <row r="26" spans="1:14" x14ac:dyDescent="0.3">
      <c r="A26" s="16">
        <v>25</v>
      </c>
      <c r="B26" s="16" t="s">
        <v>6793</v>
      </c>
      <c r="C26" s="16" t="s">
        <v>8509</v>
      </c>
      <c r="D26" s="16" t="s">
        <v>6883</v>
      </c>
      <c r="E26" s="16" t="s">
        <v>17</v>
      </c>
      <c r="F26" s="16" t="s">
        <v>6857</v>
      </c>
      <c r="G26" s="16" t="s">
        <v>13</v>
      </c>
      <c r="H26" s="16" t="s">
        <v>17</v>
      </c>
      <c r="I26" s="27">
        <v>43429</v>
      </c>
      <c r="J26" s="16" t="s">
        <v>6884</v>
      </c>
      <c r="K26" s="16" t="s">
        <v>6885</v>
      </c>
      <c r="L26" s="28" t="s">
        <v>15</v>
      </c>
      <c r="M26" s="16" t="s">
        <v>6886</v>
      </c>
      <c r="N26" t="s">
        <v>17</v>
      </c>
    </row>
    <row r="27" spans="1:14" x14ac:dyDescent="0.3">
      <c r="A27" s="16">
        <v>26</v>
      </c>
      <c r="B27" s="16" t="s">
        <v>6793</v>
      </c>
      <c r="C27" s="16" t="s">
        <v>8510</v>
      </c>
      <c r="D27" s="16" t="s">
        <v>6887</v>
      </c>
      <c r="E27" s="16" t="s">
        <v>17</v>
      </c>
      <c r="F27" s="16" t="s">
        <v>6857</v>
      </c>
      <c r="G27" s="16" t="s">
        <v>13</v>
      </c>
      <c r="H27" s="16" t="s">
        <v>17</v>
      </c>
      <c r="I27" s="27">
        <v>43429</v>
      </c>
      <c r="J27" s="16" t="s">
        <v>6888</v>
      </c>
      <c r="K27" s="16" t="s">
        <v>1212</v>
      </c>
      <c r="L27" s="28" t="s">
        <v>15</v>
      </c>
      <c r="M27" s="16" t="s">
        <v>6889</v>
      </c>
      <c r="N27" t="s">
        <v>17</v>
      </c>
    </row>
    <row r="28" spans="1:14" x14ac:dyDescent="0.3">
      <c r="A28" s="16">
        <v>27</v>
      </c>
      <c r="B28" s="16" t="s">
        <v>6793</v>
      </c>
      <c r="C28" s="16" t="s">
        <v>8511</v>
      </c>
      <c r="D28" s="16" t="s">
        <v>6890</v>
      </c>
      <c r="E28" s="16" t="s">
        <v>17</v>
      </c>
      <c r="F28" s="16" t="s">
        <v>6857</v>
      </c>
      <c r="G28" s="16" t="s">
        <v>13</v>
      </c>
      <c r="H28" s="16" t="s">
        <v>17</v>
      </c>
      <c r="I28" s="27">
        <v>43429</v>
      </c>
      <c r="J28" s="16" t="s">
        <v>6891</v>
      </c>
      <c r="K28" s="16" t="s">
        <v>14</v>
      </c>
      <c r="L28" s="28" t="s">
        <v>15</v>
      </c>
      <c r="M28" s="16" t="s">
        <v>6892</v>
      </c>
      <c r="N28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M G A A B Q S w M E F A A C A A g A R V J P W + P Z p I m m A A A A 9 w A A A B I A H A B D b 2 5 m a W c v U G F j a 2 F n Z S 5 4 b W w g o h g A K K A U A A A A A A A A A A A A A A A A A A A A A A A A A A A A h Y 8 x D o I w G I W v Q r r T l p o Q I T 9 l c D K R x I T E u D a 1 Q i M U Q 4 v l b g 4 e y S u I U d T N 8 X 3 v G 9 6 7 X 2 + Q j 2 0 T X F R v d W c y F G G K A m V k d 9 C m y t D g j u E S 5 R y 2 Q p 5 E p Y J J N j Y d 7 S F D t X P n l B D v P f Y L 3 P U V Y Z R G Z F 9 s S l m r V q C P r P / L o T b W C S M V 4 r B 7 j e E M J z G O k j h m m A K Z K R T a f A 0 2 D X 6 2 P x B W Q + O G X n H b h O U a y B y B v E / w B 1 B L A w Q U A A I A C A B F U k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V J P W 1 k 0 4 h 0 r A w A A O B o A A B M A H A B G b 3 J t d W x h c y 9 T Z W N 0 a W 9 u M S 5 t I K I Y A C i g F A A A A A A A A A A A A A A A A A A A A A A A A A A A A O 2 Y X 0 / b M B D A 3 5 H 6 H a z w U q S s W t n Y w 1 A 1 l Z Z p a B N i b d k L n S I 3 u b Z m j i + y n U C F + D D 7 M P t e s 5 O i l r p / Q G K F b e l L G t / 5 7 n x 3 v 4 s S B a F m K E i 3 u N Y P K z u V H T W m E i K y 6 9 E w B K W O x Y g J A M n E K N B M c w j g O k G p X z E N c T B A / O G R B u G g K z v E / L 4 x a W 5 b K q u 1 M U x j E L r 6 k X G o t V B o c 6 O q X u t 9 / 1 y B V H 0 m N D O + N O 2 3 8 U p w p J H q P 9 R n L V S Z t + d f t I G z 2 K z K h n f o + a S F P I 2 F a t T f + O R Y h B g Z C 4 3 6 / s F r n 3 x N U U N X T z g 0 Z n 9 r p y j g + 5 5 f x L 7 r n c k M S S a V Z i G S 1 L i k A 0 Z + o C Y j T j O w B + 3 R g d l 2 J j E 2 N j 4 B j c x J q u b Q P r m Y L j Y 5 7 4 a U U 6 k a W q b z 1 r u J B J M R l n v A m b W e p E I N U c Z F + L 1 J A q q 6 M R j / 5 s a b Z p V o s 8 U c 3 1 6 I h m t 9 6 5 M b 7 6 R t l k 6 E f v e 2 Z k 3 m a z 2 b T U f z z F T c W D n p H p 0 6 s m a q x y j d L e m A M z U G V 9 L C Z C L Z a K z J B K g r b l M N J E G l I X J k 3 X R w a V p R O Y I e J q b F M u B E r V J p y n D M M o g + O J L z z h d n r Q M K U x k C O e + c 3 B P e z s p l + l Z L Z m o D 0 y r M N U A X u I m i g 1 e 2 U A t 1 9 Q n Q c E x s 8 f c q O 0 y s s f d 4 4 H S q U T L K t w 3 d n d 8 l 4 P k l e E v A W 2 j g l 8 h d Z J Z e D n f z q C w U 7 P G Y h F R B o H Q a T b Y N y s z z n 0 I F M / b r p 5 0 i T 8 n G J Q i a Z 5 t u x m M h g J K H b f E w V 6 T H I 2 F O R z O m g k S i j X z b X C y 4 L 5 8 j J T d / w X P E v m u Q a n 3 v O d 5 x r N 8 S k x K T Z 8 a k u d i u n 4 + a n d 5 T Q 7 H a y w Y E 9 g / + D w S S a S d G x b R w S p 2 Y p O m A R S b X b M j y h l 1 4 9 0 f B T X L X q t g W D Y b M B B I w p V I I i j 2 O M 5 H G U 7 U M + W a l t b Z y n 5 w + x G W u t c H j Z k v F t E 0 l d y R F t H T 5 K C i 2 M f e r B c Q D K k c Y M D F E R x h i B p K O I I g g 0 W M 3 Y t N F L u R 3 t Z a B o P G S U l t x S O 0 n u 2 D p R M x T G q P A k a T J O J i 1 T t 4 k D 1 d f k c C Z a m a 7 e J 0 C R M y G u S L T V r o k 0 0 k + p 4 N 7 x 1 y V f M N Z C J b 9 h 6 k X z 1 4 3 a 0 8 w D / f L e V j O w 3 I e l v P w 3 5 + H v w F Q S w E C L Q A U A A I A C A B F U k 9 b 4 9 m k i a Y A A A D 3 A A A A E g A A A A A A A A A A A A A A A A A A A A A A Q 2 9 u Z m l n L 1 B h Y 2 t h Z 2 U u e G 1 s U E s B A i 0 A F A A C A A g A R V J P W w / K 6 a u k A A A A 6 Q A A A B M A A A A A A A A A A A A A A A A A 8 g A A A F t D b 2 5 0 Z W 5 0 X 1 R 5 c G V z X S 5 4 b W x Q S w E C L Q A U A A I A C A B F U k 9 b W T T i H S s D A A A 4 G g A A E w A A A A A A A A A A A A A A A A D j A Q A A R m 9 y b X V s Y X M v U 2 V j d G l v b j E u b V B L B Q Y A A A A A A w A D A M I A A A B b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1 k g A A A A A A A F O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N j Z X N z R W 5 n a W 5 l Z X J p b m d f d G l 0 b G V f Z X h w b 3 J 0 L W l 0 Z W 1 f Y m 9 v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Q 6 N T Q u N T Q w N T I w M F o i I C 8 + P E V u d H J 5 I F R 5 c G U 9 I k Z p b G x D b 2 x 1 b W 5 U e X B l c y I g V m F s d W U 9 I n N C Z 0 1 H Q m d Z R 0 J n W U d C Z 1 l H Q m c 9 P S I g L z 4 8 R W 5 0 c n k g V H l w Z T 0 i R m l s b E N v b H V t b k 5 h b W V z I i B W Y W x 1 Z T 0 i c 1 s m c X V v d D t D b 2 5 0 Z W 5 0 I H R 5 c G U m c X V v d D s s J n F 1 b 3 Q 7 S U Q m c X V v d D s s J n F 1 b 3 Q 7 V G l 0 b G U m c X V v d D s s J n F 1 b 3 Q 7 U G F y Z W 5 0 I E l T Q k 4 m c X V v d D s s J n F 1 b 3 Q 7 Q X V 0 a G 9 y J n F 1 b 3 Q 7 L C Z x d W 9 0 O 1 B 1 Y m x p c 2 h l c i Z x d W 9 0 O y w m c X V v d D t D b 3 B 5 c m l n a H Q g e W V h c i Z x d W 9 0 O y w m c X V v d D t E Y X R l I H B v c 3 R l Z C Z x d W 9 0 O y w m c X V v d D t T d W J q Z W N 0 c y Z x d W 9 0 O y w m c X V v d D t U b 3 A g b G V 2 Z W w g c 3 V i a m V j d H M m c X V v d D s s J n F 1 b 3 Q 7 Q X J j a G l 2 Z W Q / J n F 1 b 3 Q 7 L C Z x d W 9 0 O 1 V S T C Z x d W 9 0 O y w m c X V v d D t S Z X N v d X J j Z S B V U k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N j Z X N z R W 5 n a W 5 l Z X J p b m d f d G l 0 b G V f Z X h w b 3 J 0 L W l 0 Z W 1 f Y m 9 v a y 9 T c H J l b W V u a S B 2 c n N 0 b y 5 7 Q 2 9 u d G V u d C B 0 e X B l L D B 9 J n F 1 b 3 Q 7 L C Z x d W 9 0 O 1 N l Y 3 R p b 2 4 x L 2 F j Y 2 V z c 0 V u Z 2 l u Z W V y a W 5 n X 3 R p d G x l X 2 V 4 c G 9 y d C 1 p d G V t X 2 J v b 2 s v U 3 B y Z W 1 l b m k g d n J z d G 8 u e 0 l E L D F 9 J n F 1 b 3 Q 7 L C Z x d W 9 0 O 1 N l Y 3 R p b 2 4 x L 2 F j Y 2 V z c 0 V u Z 2 l u Z W V y a W 5 n X 3 R p d G x l X 2 V 4 c G 9 y d C 1 p d G V t X 2 J v b 2 s v U 3 B y Z W 1 l b m k g d n J z d G 8 u e 1 R p d G x l L D J 9 J n F 1 b 3 Q 7 L C Z x d W 9 0 O 1 N l Y 3 R p b 2 4 x L 2 F j Y 2 V z c 0 V u Z 2 l u Z W V y a W 5 n X 3 R p d G x l X 2 V 4 c G 9 y d C 1 p d G V t X 2 J v b 2 s v U 3 B y Z W 1 l b m k g d n J z d G 8 u e 1 B h c m V u d C B J U 0 J O L D N 9 J n F 1 b 3 Q 7 L C Z x d W 9 0 O 1 N l Y 3 R p b 2 4 x L 2 F j Y 2 V z c 0 V u Z 2 l u Z W V y a W 5 n X 3 R p d G x l X 2 V 4 c G 9 y d C 1 p d G V t X 2 J v b 2 s v U 3 B y Z W 1 l b m k g d n J z d G 8 u e 0 F 1 d G h v c i w 0 f S Z x d W 9 0 O y w m c X V v d D t T Z W N 0 a W 9 u M S 9 h Y 2 N l c 3 N F b m d p b m V l c m l u Z 1 9 0 a X R s Z V 9 l e H B v c n Q t a X R l b V 9 i b 2 9 r L 1 N w c m V t Z W 5 p I H Z y c 3 R v L n t Q d W J s a X N o Z X I s N X 0 m c X V v d D s s J n F 1 b 3 Q 7 U 2 V j d G l v b j E v Y W N j Z X N z R W 5 n a W 5 l Z X J p b m d f d G l 0 b G V f Z X h w b 3 J 0 L W l 0 Z W 1 f Y m 9 v a y 9 T c H J l b W V u a S B 2 c n N 0 b y 5 7 Q 2 9 w e X J p Z 2 h 0 I H l l Y X I s N n 0 m c X V v d D s s J n F 1 b 3 Q 7 U 2 V j d G l v b j E v Y W N j Z X N z R W 5 n a W 5 l Z X J p b m d f d G l 0 b G V f Z X h w b 3 J 0 L W l 0 Z W 1 f Y m 9 v a y 9 T c H J l b W V u a S B 2 c n N 0 b y 5 7 R G F 0 Z S B w b 3 N 0 Z W Q s N 3 0 m c X V v d D s s J n F 1 b 3 Q 7 U 2 V j d G l v b j E v Y W N j Z X N z R W 5 n a W 5 l Z X J p b m d f d G l 0 b G V f Z X h w b 3 J 0 L W l 0 Z W 1 f Y m 9 v a y 9 T c H J l b W V u a S B 2 c n N 0 b y 5 7 U 3 V i a m V j d H M s O H 0 m c X V v d D s s J n F 1 b 3 Q 7 U 2 V j d G l v b j E v Y W N j Z X N z R W 5 n a W 5 l Z X J p b m d f d G l 0 b G V f Z X h w b 3 J 0 L W l 0 Z W 1 f Y m 9 v a y 9 T c H J l b W V u a S B 2 c n N 0 b y 5 7 V G 9 w I G x l d m V s I H N 1 Y m p l Y 3 R z L D l 9 J n F 1 b 3 Q 7 L C Z x d W 9 0 O 1 N l Y 3 R p b 2 4 x L 2 F j Y 2 V z c 0 V u Z 2 l u Z W V y a W 5 n X 3 R p d G x l X 2 V 4 c G 9 y d C 1 p d G V t X 2 J v b 2 s v U 3 B y Z W 1 l b m k g d n J z d G 8 u e 0 F y Y 2 h p d m V k P y w x M H 0 m c X V v d D s s J n F 1 b 3 Q 7 U 2 V j d G l v b j E v Y W N j Z X N z R W 5 n a W 5 l Z X J p b m d f d G l 0 b G V f Z X h w b 3 J 0 L W l 0 Z W 1 f Y m 9 v a y 9 T c H J l b W V u a S B 2 c n N 0 b y 5 7 V V J M L D E x f S Z x d W 9 0 O y w m c X V v d D t T Z W N 0 a W 9 u M S 9 h Y 2 N l c 3 N F b m d p b m V l c m l u Z 1 9 0 a X R s Z V 9 l e H B v c n Q t a X R l b V 9 i b 2 9 r L 1 N w c m V t Z W 5 p I H Z y c 3 R v L n t S Z X N v d X J j Z S B V U k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h Y 2 N l c 3 N F b m d p b m V l c m l u Z 1 9 0 a X R s Z V 9 l e H B v c n Q t a X R l b V 9 i b 2 9 r L 1 N w c m V t Z W 5 p I H Z y c 3 R v L n t D b 2 5 0 Z W 5 0 I H R 5 c G U s M H 0 m c X V v d D s s J n F 1 b 3 Q 7 U 2 V j d G l v b j E v Y W N j Z X N z R W 5 n a W 5 l Z X J p b m d f d G l 0 b G V f Z X h w b 3 J 0 L W l 0 Z W 1 f Y m 9 v a y 9 T c H J l b W V u a S B 2 c n N 0 b y 5 7 S U Q s M X 0 m c X V v d D s s J n F 1 b 3 Q 7 U 2 V j d G l v b j E v Y W N j Z X N z R W 5 n a W 5 l Z X J p b m d f d G l 0 b G V f Z X h w b 3 J 0 L W l 0 Z W 1 f Y m 9 v a y 9 T c H J l b W V u a S B 2 c n N 0 b y 5 7 V G l 0 b G U s M n 0 m c X V v d D s s J n F 1 b 3 Q 7 U 2 V j d G l v b j E v Y W N j Z X N z R W 5 n a W 5 l Z X J p b m d f d G l 0 b G V f Z X h w b 3 J 0 L W l 0 Z W 1 f Y m 9 v a y 9 T c H J l b W V u a S B 2 c n N 0 b y 5 7 U G F y Z W 5 0 I E l T Q k 4 s M 3 0 m c X V v d D s s J n F 1 b 3 Q 7 U 2 V j d G l v b j E v Y W N j Z X N z R W 5 n a W 5 l Z X J p b m d f d G l 0 b G V f Z X h w b 3 J 0 L W l 0 Z W 1 f Y m 9 v a y 9 T c H J l b W V u a S B 2 c n N 0 b y 5 7 Q X V 0 a G 9 y L D R 9 J n F 1 b 3 Q 7 L C Z x d W 9 0 O 1 N l Y 3 R p b 2 4 x L 2 F j Y 2 V z c 0 V u Z 2 l u Z W V y a W 5 n X 3 R p d G x l X 2 V 4 c G 9 y d C 1 p d G V t X 2 J v b 2 s v U 3 B y Z W 1 l b m k g d n J z d G 8 u e 1 B 1 Y m x p c 2 h l c i w 1 f S Z x d W 9 0 O y w m c X V v d D t T Z W N 0 a W 9 u M S 9 h Y 2 N l c 3 N F b m d p b m V l c m l u Z 1 9 0 a X R s Z V 9 l e H B v c n Q t a X R l b V 9 i b 2 9 r L 1 N w c m V t Z W 5 p I H Z y c 3 R v L n t D b 3 B 5 c m l n a H Q g e W V h c i w 2 f S Z x d W 9 0 O y w m c X V v d D t T Z W N 0 a W 9 u M S 9 h Y 2 N l c 3 N F b m d p b m V l c m l u Z 1 9 0 a X R s Z V 9 l e H B v c n Q t a X R l b V 9 i b 2 9 r L 1 N w c m V t Z W 5 p I H Z y c 3 R v L n t E Y X R l I H B v c 3 R l Z C w 3 f S Z x d W 9 0 O y w m c X V v d D t T Z W N 0 a W 9 u M S 9 h Y 2 N l c 3 N F b m d p b m V l c m l u Z 1 9 0 a X R s Z V 9 l e H B v c n Q t a X R l b V 9 i b 2 9 r L 1 N w c m V t Z W 5 p I H Z y c 3 R v L n t T d W J q Z W N 0 c y w 4 f S Z x d W 9 0 O y w m c X V v d D t T Z W N 0 a W 9 u M S 9 h Y 2 N l c 3 N F b m d p b m V l c m l u Z 1 9 0 a X R s Z V 9 l e H B v c n Q t a X R l b V 9 i b 2 9 r L 1 N w c m V t Z W 5 p I H Z y c 3 R v L n t U b 3 A g b G V 2 Z W w g c 3 V i a m V j d H M s O X 0 m c X V v d D s s J n F 1 b 3 Q 7 U 2 V j d G l v b j E v Y W N j Z X N z R W 5 n a W 5 l Z X J p b m d f d G l 0 b G V f Z X h w b 3 J 0 L W l 0 Z W 1 f Y m 9 v a y 9 T c H J l b W V u a S B 2 c n N 0 b y 5 7 Q X J j a G l 2 Z W Q / L D E w f S Z x d W 9 0 O y w m c X V v d D t T Z W N 0 a W 9 u M S 9 h Y 2 N l c 3 N F b m d p b m V l c m l u Z 1 9 0 a X R s Z V 9 l e H B v c n Q t a X R l b V 9 i b 2 9 r L 1 N w c m V t Z W 5 p I H Z y c 3 R v L n t V U k w s M T F 9 J n F 1 b 3 Q 7 L C Z x d W 9 0 O 1 N l Y 3 R p b 2 4 x L 2 F j Y 2 V z c 0 V u Z 2 l u Z W V y a W 5 n X 3 R p d G x l X 2 V 4 c G 9 y d C 1 p d G V t X 2 J v b 2 s v U 3 B y Z W 1 l b m k g d n J z d G 8 u e 1 J l c 2 9 1 c m N l I F V S S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j Y 2 V z c 0 V u Z 2 l u Z W V y a W 5 n X 3 R p d G x l X 2 V 4 c G 9 y d C 1 p d G V t X 2 J v b 2 s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N j Z X N z R W 5 n a W 5 l Z X J p b m d f d G l 0 b G V f Z X h w b 3 J 0 L W l 0 Z W 1 f Y m 9 v a y 9 Q c n Z v J T I w d n J z d G l j b y U y M H V w b 3 J h Y m k l M j B r b 3 Q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j Y 2 V z c 0 V u Z 2 l u Z W V y a W 5 n X 3 R p d G x l X 2 V 4 c G 9 y d C 1 p d G V t X 2 J v b 2 s v U 3 B y Z W 1 l b m k l M j B 2 c n N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j Y 2 V z c 0 V u Z 2 l u Z W V y a W 5 n X 3 R p d G x l X 2 V 4 c G 9 y d C 1 p d G V t X 2 J v b 2 s v R m l s d H J p c m F u Z S U y M H Z y c 3 R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2 N l c 3 N F b m d p b m V l c m l u Z 1 9 0 a X R s Z V 9 l e H B v c n Q t a X R l b V 9 0 d X R v c m l h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N j Z X N z R W 5 n a W 5 l Z X J p b m d f d G l 0 b G V f Z X h w b 3 J 0 L W l 0 Z W 1 f d H V 0 b 3 J p Y W w v U 3 B y Z W 1 l b m k g d n J z d G 8 u e 0 N v b n R l b n Q g d H l w Z S w w f S Z x d W 9 0 O y w m c X V v d D t T Z W N 0 a W 9 u M S 9 h Y 2 N l c 3 N F b m d p b m V l c m l u Z 1 9 0 a X R s Z V 9 l e H B v c n Q t a X R l b V 9 0 d X R v c m l h b C 9 T c H J l b W V u a S B 2 c n N 0 b y 5 7 S U Q s M X 0 m c X V v d D s s J n F 1 b 3 Q 7 U 2 V j d G l v b j E v Y W N j Z X N z R W 5 n a W 5 l Z X J p b m d f d G l 0 b G V f Z X h w b 3 J 0 L W l 0 Z W 1 f d H V 0 b 3 J p Y W w v U 3 B y Z W 1 l b m k g d n J z d G 8 u e 1 R p d G x l L D J 9 J n F 1 b 3 Q 7 L C Z x d W 9 0 O 1 N l Y 3 R p b 2 4 x L 2 F j Y 2 V z c 0 V u Z 2 l u Z W V y a W 5 n X 3 R p d G x l X 2 V 4 c G 9 y d C 1 p d G V t X 3 R 1 d G 9 y a W F s L 1 N w c m V t Z W 5 p I H Z y c 3 R v L n t Q Y X J l b n Q g S V N C T i w z f S Z x d W 9 0 O y w m c X V v d D t T Z W N 0 a W 9 u M S 9 h Y 2 N l c 3 N F b m d p b m V l c m l u Z 1 9 0 a X R s Z V 9 l e H B v c n Q t a X R l b V 9 0 d X R v c m l h b C 9 T c H J l b W V u a S B 2 c n N 0 b y 5 7 Q X V 0 a G 9 y L D R 9 J n F 1 b 3 Q 7 L C Z x d W 9 0 O 1 N l Y 3 R p b 2 4 x L 2 F j Y 2 V z c 0 V u Z 2 l u Z W V y a W 5 n X 3 R p d G x l X 2 V 4 c G 9 y d C 1 p d G V t X 3 R 1 d G 9 y a W F s L 1 N w c m V t Z W 5 p I H Z y c 3 R v L n t Q d W J s a X N o Z X I s N X 0 m c X V v d D s s J n F 1 b 3 Q 7 U 2 V j d G l v b j E v Y W N j Z X N z R W 5 n a W 5 l Z X J p b m d f d G l 0 b G V f Z X h w b 3 J 0 L W l 0 Z W 1 f d H V 0 b 3 J p Y W w v U 3 B y Z W 1 l b m k g d n J z d G 8 u e 0 N v c H l y a W d o d C B 5 Z W F y L D Z 9 J n F 1 b 3 Q 7 L C Z x d W 9 0 O 1 N l Y 3 R p b 2 4 x L 2 F j Y 2 V z c 0 V u Z 2 l u Z W V y a W 5 n X 3 R p d G x l X 2 V 4 c G 9 y d C 1 p d G V t X 3 R 1 d G 9 y a W F s L 1 N w c m V t Z W 5 p I H Z y c 3 R v L n t E Y X R l I H B v c 3 R l Z C w 3 f S Z x d W 9 0 O y w m c X V v d D t T Z W N 0 a W 9 u M S 9 h Y 2 N l c 3 N F b m d p b m V l c m l u Z 1 9 0 a X R s Z V 9 l e H B v c n Q t a X R l b V 9 0 d X R v c m l h b C 9 T c H J l b W V u a S B 2 c n N 0 b y 5 7 U 3 V i a m V j d H M s O H 0 m c X V v d D s s J n F 1 b 3 Q 7 U 2 V j d G l v b j E v Y W N j Z X N z R W 5 n a W 5 l Z X J p b m d f d G l 0 b G V f Z X h w b 3 J 0 L W l 0 Z W 1 f d H V 0 b 3 J p Y W w v U 3 B y Z W 1 l b m k g d n J z d G 8 u e 1 R v c C B s Z X Z l b C B z d W J q Z W N 0 c y w 5 f S Z x d W 9 0 O y w m c X V v d D t T Z W N 0 a W 9 u M S 9 h Y 2 N l c 3 N F b m d p b m V l c m l u Z 1 9 0 a X R s Z V 9 l e H B v c n Q t a X R l b V 9 0 d X R v c m l h b C 9 T c H J l b W V u a S B 2 c n N 0 b y 5 7 Q X J j a G l 2 Z W Q / L D E w f S Z x d W 9 0 O y w m c X V v d D t T Z W N 0 a W 9 u M S 9 h Y 2 N l c 3 N F b m d p b m V l c m l u Z 1 9 0 a X R s Z V 9 l e H B v c n Q t a X R l b V 9 0 d X R v c m l h b C 9 T c H J l b W V u a S B 2 c n N 0 b y 5 7 V V J M L D E x f S Z x d W 9 0 O y w m c X V v d D t T Z W N 0 a W 9 u M S 9 h Y 2 N l c 3 N F b m d p b m V l c m l u Z 1 9 0 a X R s Z V 9 l e H B v c n Q t a X R l b V 9 0 d X R v c m l h b C 9 T c H J l b W V u a S B 2 c n N 0 b y 5 7 U m V z b 3 V y Y 2 U g V V J J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Y W N j Z X N z R W 5 n a W 5 l Z X J p b m d f d G l 0 b G V f Z X h w b 3 J 0 L W l 0 Z W 1 f d H V 0 b 3 J p Y W w v U 3 B y Z W 1 l b m k g d n J z d G 8 u e 0 N v b n R l b n Q g d H l w Z S w w f S Z x d W 9 0 O y w m c X V v d D t T Z W N 0 a W 9 u M S 9 h Y 2 N l c 3 N F b m d p b m V l c m l u Z 1 9 0 a X R s Z V 9 l e H B v c n Q t a X R l b V 9 0 d X R v c m l h b C 9 T c H J l b W V u a S B 2 c n N 0 b y 5 7 S U Q s M X 0 m c X V v d D s s J n F 1 b 3 Q 7 U 2 V j d G l v b j E v Y W N j Z X N z R W 5 n a W 5 l Z X J p b m d f d G l 0 b G V f Z X h w b 3 J 0 L W l 0 Z W 1 f d H V 0 b 3 J p Y W w v U 3 B y Z W 1 l b m k g d n J z d G 8 u e 1 R p d G x l L D J 9 J n F 1 b 3 Q 7 L C Z x d W 9 0 O 1 N l Y 3 R p b 2 4 x L 2 F j Y 2 V z c 0 V u Z 2 l u Z W V y a W 5 n X 3 R p d G x l X 2 V 4 c G 9 y d C 1 p d G V t X 3 R 1 d G 9 y a W F s L 1 N w c m V t Z W 5 p I H Z y c 3 R v L n t Q Y X J l b n Q g S V N C T i w z f S Z x d W 9 0 O y w m c X V v d D t T Z W N 0 a W 9 u M S 9 h Y 2 N l c 3 N F b m d p b m V l c m l u Z 1 9 0 a X R s Z V 9 l e H B v c n Q t a X R l b V 9 0 d X R v c m l h b C 9 T c H J l b W V u a S B 2 c n N 0 b y 5 7 Q X V 0 a G 9 y L D R 9 J n F 1 b 3 Q 7 L C Z x d W 9 0 O 1 N l Y 3 R p b 2 4 x L 2 F j Y 2 V z c 0 V u Z 2 l u Z W V y a W 5 n X 3 R p d G x l X 2 V 4 c G 9 y d C 1 p d G V t X 3 R 1 d G 9 y a W F s L 1 N w c m V t Z W 5 p I H Z y c 3 R v L n t Q d W J s a X N o Z X I s N X 0 m c X V v d D s s J n F 1 b 3 Q 7 U 2 V j d G l v b j E v Y W N j Z X N z R W 5 n a W 5 l Z X J p b m d f d G l 0 b G V f Z X h w b 3 J 0 L W l 0 Z W 1 f d H V 0 b 3 J p Y W w v U 3 B y Z W 1 l b m k g d n J z d G 8 u e 0 N v c H l y a W d o d C B 5 Z W F y L D Z 9 J n F 1 b 3 Q 7 L C Z x d W 9 0 O 1 N l Y 3 R p b 2 4 x L 2 F j Y 2 V z c 0 V u Z 2 l u Z W V y a W 5 n X 3 R p d G x l X 2 V 4 c G 9 y d C 1 p d G V t X 3 R 1 d G 9 y a W F s L 1 N w c m V t Z W 5 p I H Z y c 3 R v L n t E Y X R l I H B v c 3 R l Z C w 3 f S Z x d W 9 0 O y w m c X V v d D t T Z W N 0 a W 9 u M S 9 h Y 2 N l c 3 N F b m d p b m V l c m l u Z 1 9 0 a X R s Z V 9 l e H B v c n Q t a X R l b V 9 0 d X R v c m l h b C 9 T c H J l b W V u a S B 2 c n N 0 b y 5 7 U 3 V i a m V j d H M s O H 0 m c X V v d D s s J n F 1 b 3 Q 7 U 2 V j d G l v b j E v Y W N j Z X N z R W 5 n a W 5 l Z X J p b m d f d G l 0 b G V f Z X h w b 3 J 0 L W l 0 Z W 1 f d H V 0 b 3 J p Y W w v U 3 B y Z W 1 l b m k g d n J z d G 8 u e 1 R v c C B s Z X Z l b C B z d W J q Z W N 0 c y w 5 f S Z x d W 9 0 O y w m c X V v d D t T Z W N 0 a W 9 u M S 9 h Y 2 N l c 3 N F b m d p b m V l c m l u Z 1 9 0 a X R s Z V 9 l e H B v c n Q t a X R l b V 9 0 d X R v c m l h b C 9 T c H J l b W V u a S B 2 c n N 0 b y 5 7 Q X J j a G l 2 Z W Q / L D E w f S Z x d W 9 0 O y w m c X V v d D t T Z W N 0 a W 9 u M S 9 h Y 2 N l c 3 N F b m d p b m V l c m l u Z 1 9 0 a X R s Z V 9 l e H B v c n Q t a X R l b V 9 0 d X R v c m l h b C 9 T c H J l b W V u a S B 2 c n N 0 b y 5 7 V V J M L D E x f S Z x d W 9 0 O y w m c X V v d D t T Z W N 0 a W 9 u M S 9 h Y 2 N l c 3 N F b m d p b m V l c m l u Z 1 9 0 a X R s Z V 9 l e H B v c n Q t a X R l b V 9 0 d X R v c m l h b C 9 T c H J l b W V u a S B 2 c n N 0 b y 5 7 U m V z b 3 V y Y 2 U g V V J J L D E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u d G V u d C B 0 e X B l J n F 1 b 3 Q 7 L C Z x d W 9 0 O 0 l E J n F 1 b 3 Q 7 L C Z x d W 9 0 O 1 R p d G x l J n F 1 b 3 Q 7 L C Z x d W 9 0 O 1 B h c m V u d C B J U 0 J O J n F 1 b 3 Q 7 L C Z x d W 9 0 O 0 F 1 d G h v c i Z x d W 9 0 O y w m c X V v d D t Q d W J s a X N o Z X I m c X V v d D s s J n F 1 b 3 Q 7 Q 2 9 w e X J p Z 2 h 0 I H l l Y X I m c X V v d D s s J n F 1 b 3 Q 7 R G F 0 Z S B w b 3 N 0 Z W Q m c X V v d D s s J n F 1 b 3 Q 7 U 3 V i a m V j d H M m c X V v d D s s J n F 1 b 3 Q 7 V G 9 w I G x l d m V s I H N 1 Y m p l Y 3 R z J n F 1 b 3 Q 7 L C Z x d W 9 0 O 0 F y Y 2 h p d m V k P y Z x d W 9 0 O y w m c X V v d D t V U k w m c X V v d D s s J n F 1 b 3 Q 7 U m V z b 3 V y Y 2 U g V V J J J n F 1 b 3 Q 7 X S I g L z 4 8 R W 5 0 c n k g V H l w Z T 0 i R m l s b E N v b H V t b l R 5 c G V z I i B W Y W x 1 Z T 0 i c 0 J n W U d C Z 1 l H Q m d r R 0 J n W U d C Z z 0 9 I i A v P j x F b n R y e S B U e X B l P S J G a W x s T G F z d F V w Z G F 0 Z W Q i I F Z h b H V l P S J k M j A y N S 0 x M C 0 x N V Q w N z o y N j o 0 N S 4 4 M D U 1 N j Q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F j Y 2 V z c 0 V u Z 2 l u Z W V y a W 5 n X 3 R p d G x l X 2 V 4 c G 9 y d C 1 p d G V t X 3 R 1 d G 9 y a W F s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j Y 2 V z c 0 V u Z 2 l u Z W V y a W 5 n X 3 R p d G x l X 2 V 4 c G 9 y d C 1 p d G V t X 3 R 1 d G 9 y a W F s L 1 B y d m 8 l M j B 2 c n N 0 a W N v J T I w d X B v c m F i a S U y M G t v d C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N j Z X N z R W 5 n a W 5 l Z X J p b m d f d G l 0 b G V f Z X h w b 3 J 0 L W l 0 Z W 1 f d H V 0 b 3 J p Y W w v U 3 B y Z W 1 l b m k l M j B 2 c n N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j Y 2 V z c 0 V u Z 2 l u Z W V y a W 5 n X 3 R p d G x l X 2 V 4 c G 9 y d C 1 p d G V t X 2 N h c 2 V f c 3 R 1 Z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j Y 2 V z c 0 V u Z 2 l u Z W V y a W 5 n X 3 R p d G x l X 2 V 4 c G 9 y d C 1 p d G V t X 2 N h c 2 V f c 3 R 1 Z H k v U 3 B y Z W 1 l b m p l b m E g d n J z d G E u e 0 N v b n R l b n Q g d H l w Z S w w f S Z x d W 9 0 O y w m c X V v d D t T Z W N 0 a W 9 u M S 9 h Y 2 N l c 3 N F b m d p b m V l c m l u Z 1 9 0 a X R s Z V 9 l e H B v c n Q t a X R l b V 9 j Y X N l X 3 N 0 d W R 5 L 1 N w c m V t Z W 5 q Z W 5 h I H Z y c 3 R h L n t J R C w x f S Z x d W 9 0 O y w m c X V v d D t T Z W N 0 a W 9 u M S 9 h Y 2 N l c 3 N F b m d p b m V l c m l u Z 1 9 0 a X R s Z V 9 l e H B v c n Q t a X R l b V 9 j Y X N l X 3 N 0 d W R 5 L 1 N w c m V t Z W 5 q Z W 5 h I H Z y c 3 R h L n t U a X R s Z S w y f S Z x d W 9 0 O y w m c X V v d D t T Z W N 0 a W 9 u M S 9 h Y 2 N l c 3 N F b m d p b m V l c m l u Z 1 9 0 a X R s Z V 9 l e H B v c n Q t a X R l b V 9 j Y X N l X 3 N 0 d W R 5 L 1 N w c m V t Z W 5 q Z W 5 h I H Z y c 3 R h L n t Q Y X J l b n Q g S V N C T i w z f S Z x d W 9 0 O y w m c X V v d D t T Z W N 0 a W 9 u M S 9 h Y 2 N l c 3 N F b m d p b m V l c m l u Z 1 9 0 a X R s Z V 9 l e H B v c n Q t a X R l b V 9 j Y X N l X 3 N 0 d W R 5 L 1 N w c m V t Z W 5 q Z W 5 h I H Z y c 3 R h L n t B d X R o b 3 I s N H 0 m c X V v d D s s J n F 1 b 3 Q 7 U 2 V j d G l v b j E v Y W N j Z X N z R W 5 n a W 5 l Z X J p b m d f d G l 0 b G V f Z X h w b 3 J 0 L W l 0 Z W 1 f Y 2 F z Z V 9 z d H V k e S 9 T c H J l b W V u a m V u Y S B 2 c n N 0 Y S 5 7 U H V i b G l z a G V y L D V 9 J n F 1 b 3 Q 7 L C Z x d W 9 0 O 1 N l Y 3 R p b 2 4 x L 2 F j Y 2 V z c 0 V u Z 2 l u Z W V y a W 5 n X 3 R p d G x l X 2 V 4 c G 9 y d C 1 p d G V t X 2 N h c 2 V f c 3 R 1 Z H k v U 3 B y Z W 1 l b m p l b m E g d n J z d G E u e 0 N v c H l y a W d o d C B 5 Z W F y L D Z 9 J n F 1 b 3 Q 7 L C Z x d W 9 0 O 1 N l Y 3 R p b 2 4 x L 2 F j Y 2 V z c 0 V u Z 2 l u Z W V y a W 5 n X 3 R p d G x l X 2 V 4 c G 9 y d C 1 p d G V t X 2 N h c 2 V f c 3 R 1 Z H k v U 3 B y Z W 1 l b m p l b m E g d n J z d G E u e 0 R h d G U g c G 9 z d G V k L D d 9 J n F 1 b 3 Q 7 L C Z x d W 9 0 O 1 N l Y 3 R p b 2 4 x L 2 F j Y 2 V z c 0 V u Z 2 l u Z W V y a W 5 n X 3 R p d G x l X 2 V 4 c G 9 y d C 1 p d G V t X 2 N h c 2 V f c 3 R 1 Z H k v U 3 B y Z W 1 l b m p l b m E g d n J z d G E u e 1 N 1 Y m p l Y 3 R z L D h 9 J n F 1 b 3 Q 7 L C Z x d W 9 0 O 1 N l Y 3 R p b 2 4 x L 2 F j Y 2 V z c 0 V u Z 2 l u Z W V y a W 5 n X 3 R p d G x l X 2 V 4 c G 9 y d C 1 p d G V t X 2 N h c 2 V f c 3 R 1 Z H k v U 3 B y Z W 1 l b m p l b m E g d n J z d G E u e 1 R v c C B s Z X Z l b C B z d W J q Z W N 0 c y w 5 f S Z x d W 9 0 O y w m c X V v d D t T Z W N 0 a W 9 u M S 9 h Y 2 N l c 3 N F b m d p b m V l c m l u Z 1 9 0 a X R s Z V 9 l e H B v c n Q t a X R l b V 9 j Y X N l X 3 N 0 d W R 5 L 1 N w c m V t Z W 5 q Z W 5 h I H Z y c 3 R h L n t B c m N o a X Z l Z D 8 s M T B 9 J n F 1 b 3 Q 7 L C Z x d W 9 0 O 1 N l Y 3 R p b 2 4 x L 2 F j Y 2 V z c 0 V u Z 2 l u Z W V y a W 5 n X 3 R p d G x l X 2 V 4 c G 9 y d C 1 p d G V t X 2 N h c 2 V f c 3 R 1 Z H k v U 3 B y Z W 1 l b m p l b m E g d n J z d G E u e 1 V S T C w x M X 0 m c X V v d D s s J n F 1 b 3 Q 7 U 2 V j d G l v b j E v Y W N j Z X N z R W 5 n a W 5 l Z X J p b m d f d G l 0 b G V f Z X h w b 3 J 0 L W l 0 Z W 1 f Y 2 F z Z V 9 z d H V k e S 9 T c H J l b W V u a m V u Y S B 2 c n N 0 Y S 5 7 U m V z b 3 V y Y 2 U g V V J J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Y W N j Z X N z R W 5 n a W 5 l Z X J p b m d f d G l 0 b G V f Z X h w b 3 J 0 L W l 0 Z W 1 f Y 2 F z Z V 9 z d H V k e S 9 T c H J l b W V u a m V u Y S B 2 c n N 0 Y S 5 7 Q 2 9 u d G V u d C B 0 e X B l L D B 9 J n F 1 b 3 Q 7 L C Z x d W 9 0 O 1 N l Y 3 R p b 2 4 x L 2 F j Y 2 V z c 0 V u Z 2 l u Z W V y a W 5 n X 3 R p d G x l X 2 V 4 c G 9 y d C 1 p d G V t X 2 N h c 2 V f c 3 R 1 Z H k v U 3 B y Z W 1 l b m p l b m E g d n J z d G E u e 0 l E L D F 9 J n F 1 b 3 Q 7 L C Z x d W 9 0 O 1 N l Y 3 R p b 2 4 x L 2 F j Y 2 V z c 0 V u Z 2 l u Z W V y a W 5 n X 3 R p d G x l X 2 V 4 c G 9 y d C 1 p d G V t X 2 N h c 2 V f c 3 R 1 Z H k v U 3 B y Z W 1 l b m p l b m E g d n J z d G E u e 1 R p d G x l L D J 9 J n F 1 b 3 Q 7 L C Z x d W 9 0 O 1 N l Y 3 R p b 2 4 x L 2 F j Y 2 V z c 0 V u Z 2 l u Z W V y a W 5 n X 3 R p d G x l X 2 V 4 c G 9 y d C 1 p d G V t X 2 N h c 2 V f c 3 R 1 Z H k v U 3 B y Z W 1 l b m p l b m E g d n J z d G E u e 1 B h c m V u d C B J U 0 J O L D N 9 J n F 1 b 3 Q 7 L C Z x d W 9 0 O 1 N l Y 3 R p b 2 4 x L 2 F j Y 2 V z c 0 V u Z 2 l u Z W V y a W 5 n X 3 R p d G x l X 2 V 4 c G 9 y d C 1 p d G V t X 2 N h c 2 V f c 3 R 1 Z H k v U 3 B y Z W 1 l b m p l b m E g d n J z d G E u e 0 F 1 d G h v c i w 0 f S Z x d W 9 0 O y w m c X V v d D t T Z W N 0 a W 9 u M S 9 h Y 2 N l c 3 N F b m d p b m V l c m l u Z 1 9 0 a X R s Z V 9 l e H B v c n Q t a X R l b V 9 j Y X N l X 3 N 0 d W R 5 L 1 N w c m V t Z W 5 q Z W 5 h I H Z y c 3 R h L n t Q d W J s a X N o Z X I s N X 0 m c X V v d D s s J n F 1 b 3 Q 7 U 2 V j d G l v b j E v Y W N j Z X N z R W 5 n a W 5 l Z X J p b m d f d G l 0 b G V f Z X h w b 3 J 0 L W l 0 Z W 1 f Y 2 F z Z V 9 z d H V k e S 9 T c H J l b W V u a m V u Y S B 2 c n N 0 Y S 5 7 Q 2 9 w e X J p Z 2 h 0 I H l l Y X I s N n 0 m c X V v d D s s J n F 1 b 3 Q 7 U 2 V j d G l v b j E v Y W N j Z X N z R W 5 n a W 5 l Z X J p b m d f d G l 0 b G V f Z X h w b 3 J 0 L W l 0 Z W 1 f Y 2 F z Z V 9 z d H V k e S 9 T c H J l b W V u a m V u Y S B 2 c n N 0 Y S 5 7 R G F 0 Z S B w b 3 N 0 Z W Q s N 3 0 m c X V v d D s s J n F 1 b 3 Q 7 U 2 V j d G l v b j E v Y W N j Z X N z R W 5 n a W 5 l Z X J p b m d f d G l 0 b G V f Z X h w b 3 J 0 L W l 0 Z W 1 f Y 2 F z Z V 9 z d H V k e S 9 T c H J l b W V u a m V u Y S B 2 c n N 0 Y S 5 7 U 3 V i a m V j d H M s O H 0 m c X V v d D s s J n F 1 b 3 Q 7 U 2 V j d G l v b j E v Y W N j Z X N z R W 5 n a W 5 l Z X J p b m d f d G l 0 b G V f Z X h w b 3 J 0 L W l 0 Z W 1 f Y 2 F z Z V 9 z d H V k e S 9 T c H J l b W V u a m V u Y S B 2 c n N 0 Y S 5 7 V G 9 w I G x l d m V s I H N 1 Y m p l Y 3 R z L D l 9 J n F 1 b 3 Q 7 L C Z x d W 9 0 O 1 N l Y 3 R p b 2 4 x L 2 F j Y 2 V z c 0 V u Z 2 l u Z W V y a W 5 n X 3 R p d G x l X 2 V 4 c G 9 y d C 1 p d G V t X 2 N h c 2 V f c 3 R 1 Z H k v U 3 B y Z W 1 l b m p l b m E g d n J z d G E u e 0 F y Y 2 h p d m V k P y w x M H 0 m c X V v d D s s J n F 1 b 3 Q 7 U 2 V j d G l v b j E v Y W N j Z X N z R W 5 n a W 5 l Z X J p b m d f d G l 0 b G V f Z X h w b 3 J 0 L W l 0 Z W 1 f Y 2 F z Z V 9 z d H V k e S 9 T c H J l b W V u a m V u Y S B 2 c n N 0 Y S 5 7 V V J M L D E x f S Z x d W 9 0 O y w m c X V v d D t T Z W N 0 a W 9 u M S 9 h Y 2 N l c 3 N F b m d p b m V l c m l u Z 1 9 0 a X R s Z V 9 l e H B v c n Q t a X R l b V 9 j Y X N l X 3 N 0 d W R 5 L 1 N w c m V t Z W 5 q Z W 5 h I H Z y c 3 R h L n t S Z X N v d X J j Z S B V U k k s M T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5 0 Z W 5 0 I H R 5 c G U m c X V v d D s s J n F 1 b 3 Q 7 S U Q m c X V v d D s s J n F 1 b 3 Q 7 V G l 0 b G U m c X V v d D s s J n F 1 b 3 Q 7 U G F y Z W 5 0 I E l T Q k 4 m c X V v d D s s J n F 1 b 3 Q 7 Q X V 0 a G 9 y J n F 1 b 3 Q 7 L C Z x d W 9 0 O 1 B 1 Y m x p c 2 h l c i Z x d W 9 0 O y w m c X V v d D t D b 3 B 5 c m l n a H Q g e W V h c i Z x d W 9 0 O y w m c X V v d D t E Y X R l I H B v c 3 R l Z C Z x d W 9 0 O y w m c X V v d D t T d W J q Z W N 0 c y Z x d W 9 0 O y w m c X V v d D t U b 3 A g b G V 2 Z W w g c 3 V i a m V j d H M m c X V v d D s s J n F 1 b 3 Q 7 Q X J j a G l 2 Z W Q / J n F 1 b 3 Q 7 L C Z x d W 9 0 O 1 V S T C Z x d W 9 0 O y w m c X V v d D t S Z X N v d X J j Z S B V U k k m c X V v d D t d I i A v P j x F b n R y e S B U e X B l P S J G a W x s Q 2 9 s d W 1 u V H l w Z X M i I F Z h b H V l P S J z Q m d Z R 0 J n W U d C Z 2 t H Q m d Z R 0 J n P T 0 i I C 8 + P E V u d H J 5 I F R 5 c G U 9 I k Z p b G x M Y X N 0 V X B k Y X R l Z C I g V m F s d W U 9 I m Q y M D I 1 L T E w L T E 1 V D A 3 O j Q 2 O j Q x L j A 2 O D I 1 O T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F j Y 2 V z c 0 V u Z 2 l u Z W V y a W 5 n X 3 R p d G x l X 2 V 4 c G 9 y d C 1 p d G V t X 2 N h c 2 V f c 3 R 1 Z H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N j Z X N z R W 5 n a W 5 l Z X J p b m d f d G l 0 b G V f Z X h w b 3 J 0 L W l 0 Z W 1 f Y 2 F z Z V 9 z d H V k e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2 N l c 3 N F b m d p b m V l c m l u Z 1 9 0 a X R s Z V 9 l e H B v c n Q t a X R l b V 9 j Y X N l X 3 N 0 d W R 5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2 N l c 3 N F b m d p b m V l c m l u Z 1 9 0 a X R s Z V 9 l e H B v c n Q t a X R l b V 9 k Y X R h d m l z X 3 B y b 2 p l Y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j Y 2 V z c 0 V u Z 2 l u Z W V y a W 5 n X 3 R p d G x l X 2 V 4 c G 9 y d C 1 p d G V t X 2 R h d G F 2 a X N f c H J v a m V j d C 9 T c H J l b W V u a S B 2 c n N 0 b y 5 7 Q 2 9 u d G V u d C B 0 e X B l L D B 9 J n F 1 b 3 Q 7 L C Z x d W 9 0 O 1 N l Y 3 R p b 2 4 x L 2 F j Y 2 V z c 0 V u Z 2 l u Z W V y a W 5 n X 3 R p d G x l X 2 V 4 c G 9 y d C 1 p d G V t X 2 R h d G F 2 a X N f c H J v a m V j d C 9 T c H J l b W V u a S B 2 c n N 0 b y 5 7 S U Q s M X 0 m c X V v d D s s J n F 1 b 3 Q 7 U 2 V j d G l v b j E v Y W N j Z X N z R W 5 n a W 5 l Z X J p b m d f d G l 0 b G V f Z X h w b 3 J 0 L W l 0 Z W 1 f Z G F 0 Y X Z p c 1 9 w c m 9 q Z W N 0 L 1 N w c m V t Z W 5 p I H Z y c 3 R v L n t U a X R s Z S w y f S Z x d W 9 0 O y w m c X V v d D t T Z W N 0 a W 9 u M S 9 h Y 2 N l c 3 N F b m d p b m V l c m l u Z 1 9 0 a X R s Z V 9 l e H B v c n Q t a X R l b V 9 k Y X R h d m l z X 3 B y b 2 p l Y 3 Q v U 3 B y Z W 1 l b m k g d n J z d G 8 u e 1 B h c m V u d C B J U 0 J O L D N 9 J n F 1 b 3 Q 7 L C Z x d W 9 0 O 1 N l Y 3 R p b 2 4 x L 2 F j Y 2 V z c 0 V u Z 2 l u Z W V y a W 5 n X 3 R p d G x l X 2 V 4 c G 9 y d C 1 p d G V t X 2 R h d G F 2 a X N f c H J v a m V j d C 9 T c H J l b W V u a S B 2 c n N 0 b y 5 7 Q X V 0 a G 9 y L D R 9 J n F 1 b 3 Q 7 L C Z x d W 9 0 O 1 N l Y 3 R p b 2 4 x L 2 F j Y 2 V z c 0 V u Z 2 l u Z W V y a W 5 n X 3 R p d G x l X 2 V 4 c G 9 y d C 1 p d G V t X 2 R h d G F 2 a X N f c H J v a m V j d C 9 T c H J l b W V u a S B 2 c n N 0 b y 5 7 U H V i b G l z a G V y L D V 9 J n F 1 b 3 Q 7 L C Z x d W 9 0 O 1 N l Y 3 R p b 2 4 x L 2 F j Y 2 V z c 0 V u Z 2 l u Z W V y a W 5 n X 3 R p d G x l X 2 V 4 c G 9 y d C 1 p d G V t X 2 R h d G F 2 a X N f c H J v a m V j d C 9 T c H J l b W V u a S B 2 c n N 0 b y 5 7 Q 2 9 w e X J p Z 2 h 0 I H l l Y X I s N n 0 m c X V v d D s s J n F 1 b 3 Q 7 U 2 V j d G l v b j E v Y W N j Z X N z R W 5 n a W 5 l Z X J p b m d f d G l 0 b G V f Z X h w b 3 J 0 L W l 0 Z W 1 f Z G F 0 Y X Z p c 1 9 w c m 9 q Z W N 0 L 1 N w c m V t Z W 5 p I H Z y c 3 R v L n t E Y X R l I H B v c 3 R l Z C w 3 f S Z x d W 9 0 O y w m c X V v d D t T Z W N 0 a W 9 u M S 9 h Y 2 N l c 3 N F b m d p b m V l c m l u Z 1 9 0 a X R s Z V 9 l e H B v c n Q t a X R l b V 9 k Y X R h d m l z X 3 B y b 2 p l Y 3 Q v U 3 B y Z W 1 l b m k g d n J z d G 8 u e 1 N 1 Y m p l Y 3 R z L D h 9 J n F 1 b 3 Q 7 L C Z x d W 9 0 O 1 N l Y 3 R p b 2 4 x L 2 F j Y 2 V z c 0 V u Z 2 l u Z W V y a W 5 n X 3 R p d G x l X 2 V 4 c G 9 y d C 1 p d G V t X 2 R h d G F 2 a X N f c H J v a m V j d C 9 T c H J l b W V u a S B 2 c n N 0 b y 5 7 V G 9 w I G x l d m V s I H N 1 Y m p l Y 3 R z L D l 9 J n F 1 b 3 Q 7 L C Z x d W 9 0 O 1 N l Y 3 R p b 2 4 x L 2 F j Y 2 V z c 0 V u Z 2 l u Z W V y a W 5 n X 3 R p d G x l X 2 V 4 c G 9 y d C 1 p d G V t X 2 R h d G F 2 a X N f c H J v a m V j d C 9 T c H J l b W V u a S B 2 c n N 0 b y 5 7 Q X J j a G l 2 Z W Q / L D E w f S Z x d W 9 0 O y w m c X V v d D t T Z W N 0 a W 9 u M S 9 h Y 2 N l c 3 N F b m d p b m V l c m l u Z 1 9 0 a X R s Z V 9 l e H B v c n Q t a X R l b V 9 k Y X R h d m l z X 3 B y b 2 p l Y 3 Q v U 3 B y Z W 1 l b m k g d n J z d G 8 u e 1 V S T C w x M X 0 m c X V v d D s s J n F 1 b 3 Q 7 U 2 V j d G l v b j E v Y W N j Z X N z R W 5 n a W 5 l Z X J p b m d f d G l 0 b G V f Z X h w b 3 J 0 L W l 0 Z W 1 f Z G F 0 Y X Z p c 1 9 w c m 9 q Z W N 0 L 1 N w c m V t Z W 5 p I H Z y c 3 R v L n t S Z X N v d X J j Z S B V U k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h Y 2 N l c 3 N F b m d p b m V l c m l u Z 1 9 0 a X R s Z V 9 l e H B v c n Q t a X R l b V 9 k Y X R h d m l z X 3 B y b 2 p l Y 3 Q v U 3 B y Z W 1 l b m k g d n J z d G 8 u e 0 N v b n R l b n Q g d H l w Z S w w f S Z x d W 9 0 O y w m c X V v d D t T Z W N 0 a W 9 u M S 9 h Y 2 N l c 3 N F b m d p b m V l c m l u Z 1 9 0 a X R s Z V 9 l e H B v c n Q t a X R l b V 9 k Y X R h d m l z X 3 B y b 2 p l Y 3 Q v U 3 B y Z W 1 l b m k g d n J z d G 8 u e 0 l E L D F 9 J n F 1 b 3 Q 7 L C Z x d W 9 0 O 1 N l Y 3 R p b 2 4 x L 2 F j Y 2 V z c 0 V u Z 2 l u Z W V y a W 5 n X 3 R p d G x l X 2 V 4 c G 9 y d C 1 p d G V t X 2 R h d G F 2 a X N f c H J v a m V j d C 9 T c H J l b W V u a S B 2 c n N 0 b y 5 7 V G l 0 b G U s M n 0 m c X V v d D s s J n F 1 b 3 Q 7 U 2 V j d G l v b j E v Y W N j Z X N z R W 5 n a W 5 l Z X J p b m d f d G l 0 b G V f Z X h w b 3 J 0 L W l 0 Z W 1 f Z G F 0 Y X Z p c 1 9 w c m 9 q Z W N 0 L 1 N w c m V t Z W 5 p I H Z y c 3 R v L n t Q Y X J l b n Q g S V N C T i w z f S Z x d W 9 0 O y w m c X V v d D t T Z W N 0 a W 9 u M S 9 h Y 2 N l c 3 N F b m d p b m V l c m l u Z 1 9 0 a X R s Z V 9 l e H B v c n Q t a X R l b V 9 k Y X R h d m l z X 3 B y b 2 p l Y 3 Q v U 3 B y Z W 1 l b m k g d n J z d G 8 u e 0 F 1 d G h v c i w 0 f S Z x d W 9 0 O y w m c X V v d D t T Z W N 0 a W 9 u M S 9 h Y 2 N l c 3 N F b m d p b m V l c m l u Z 1 9 0 a X R s Z V 9 l e H B v c n Q t a X R l b V 9 k Y X R h d m l z X 3 B y b 2 p l Y 3 Q v U 3 B y Z W 1 l b m k g d n J z d G 8 u e 1 B 1 Y m x p c 2 h l c i w 1 f S Z x d W 9 0 O y w m c X V v d D t T Z W N 0 a W 9 u M S 9 h Y 2 N l c 3 N F b m d p b m V l c m l u Z 1 9 0 a X R s Z V 9 l e H B v c n Q t a X R l b V 9 k Y X R h d m l z X 3 B y b 2 p l Y 3 Q v U 3 B y Z W 1 l b m k g d n J z d G 8 u e 0 N v c H l y a W d o d C B 5 Z W F y L D Z 9 J n F 1 b 3 Q 7 L C Z x d W 9 0 O 1 N l Y 3 R p b 2 4 x L 2 F j Y 2 V z c 0 V u Z 2 l u Z W V y a W 5 n X 3 R p d G x l X 2 V 4 c G 9 y d C 1 p d G V t X 2 R h d G F 2 a X N f c H J v a m V j d C 9 T c H J l b W V u a S B 2 c n N 0 b y 5 7 R G F 0 Z S B w b 3 N 0 Z W Q s N 3 0 m c X V v d D s s J n F 1 b 3 Q 7 U 2 V j d G l v b j E v Y W N j Z X N z R W 5 n a W 5 l Z X J p b m d f d G l 0 b G V f Z X h w b 3 J 0 L W l 0 Z W 1 f Z G F 0 Y X Z p c 1 9 w c m 9 q Z W N 0 L 1 N w c m V t Z W 5 p I H Z y c 3 R v L n t T d W J q Z W N 0 c y w 4 f S Z x d W 9 0 O y w m c X V v d D t T Z W N 0 a W 9 u M S 9 h Y 2 N l c 3 N F b m d p b m V l c m l u Z 1 9 0 a X R s Z V 9 l e H B v c n Q t a X R l b V 9 k Y X R h d m l z X 3 B y b 2 p l Y 3 Q v U 3 B y Z W 1 l b m k g d n J z d G 8 u e 1 R v c C B s Z X Z l b C B z d W J q Z W N 0 c y w 5 f S Z x d W 9 0 O y w m c X V v d D t T Z W N 0 a W 9 u M S 9 h Y 2 N l c 3 N F b m d p b m V l c m l u Z 1 9 0 a X R s Z V 9 l e H B v c n Q t a X R l b V 9 k Y X R h d m l z X 3 B y b 2 p l Y 3 Q v U 3 B y Z W 1 l b m k g d n J z d G 8 u e 0 F y Y 2 h p d m V k P y w x M H 0 m c X V v d D s s J n F 1 b 3 Q 7 U 2 V j d G l v b j E v Y W N j Z X N z R W 5 n a W 5 l Z X J p b m d f d G l 0 b G V f Z X h w b 3 J 0 L W l 0 Z W 1 f Z G F 0 Y X Z p c 1 9 w c m 9 q Z W N 0 L 1 N w c m V t Z W 5 p I H Z y c 3 R v L n t V U k w s M T F 9 J n F 1 b 3 Q 7 L C Z x d W 9 0 O 1 N l Y 3 R p b 2 4 x L 2 F j Y 2 V z c 0 V u Z 2 l u Z W V y a W 5 n X 3 R p d G x l X 2 V 4 c G 9 y d C 1 p d G V t X 2 R h d G F 2 a X N f c H J v a m V j d C 9 T c H J l b W V u a S B 2 c n N 0 b y 5 7 U m V z b 3 V y Y 2 U g V V J J L D E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u d G V u d C B 0 e X B l J n F 1 b 3 Q 7 L C Z x d W 9 0 O 0 l E J n F 1 b 3 Q 7 L C Z x d W 9 0 O 1 R p d G x l J n F 1 b 3 Q 7 L C Z x d W 9 0 O 1 B h c m V u d C B J U 0 J O J n F 1 b 3 Q 7 L C Z x d W 9 0 O 0 F 1 d G h v c i Z x d W 9 0 O y w m c X V v d D t Q d W J s a X N o Z X I m c X V v d D s s J n F 1 b 3 Q 7 Q 2 9 w e X J p Z 2 h 0 I H l l Y X I m c X V v d D s s J n F 1 b 3 Q 7 R G F 0 Z S B w b 3 N 0 Z W Q m c X V v d D s s J n F 1 b 3 Q 7 U 3 V i a m V j d H M m c X V v d D s s J n F 1 b 3 Q 7 V G 9 w I G x l d m V s I H N 1 Y m p l Y 3 R z J n F 1 b 3 Q 7 L C Z x d W 9 0 O 0 F y Y 2 h p d m V k P y Z x d W 9 0 O y w m c X V v d D t V U k w m c X V v d D s s J n F 1 b 3 Q 7 U m V z b 3 V y Y 2 U g V V J J J n F 1 b 3 Q 7 X S I g L z 4 8 R W 5 0 c n k g V H l w Z T 0 i R m l s b E N v b H V t b l R 5 c G V z I i B W Y W x 1 Z T 0 i c 0 J n W U d C Z 1 l H Q m d r R 0 J n W U d C Z z 0 9 I i A v P j x F b n R y e S B U e X B l P S J G a W x s T G F z d F V w Z G F 0 Z W Q i I F Z h b H V l P S J k M j A y N S 0 x M C 0 x N V Q w N z o 1 M D o w O S 4 5 M T c x N z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c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h Y 2 N l c 3 N F b m d p b m V l c m l u Z 1 9 0 a X R s Z V 9 l e H B v c n Q t a X R l b V 9 k Y X R h d m l z X 3 B y b 2 p l Y 3 Q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N j Z X N z R W 5 n a W 5 l Z X J p b m d f d G l 0 b G V f Z X h w b 3 J 0 L W l 0 Z W 1 f Z G F 0 Y X Z p c 1 9 w c m 9 q Z W N 0 L 1 B y d m 8 l M j B 2 c n N 0 a W N v J T I w d X B v c m F i a S U y M G t v d C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N j Z X N z R W 5 n a W 5 l Z X J p b m d f d G l 0 b G V f Z X h w b 3 J 0 L W l 0 Z W 1 f Z G F 0 Y X Z p c 1 9 w c m 9 q Z W N 0 L 1 N w c m V t Z W 5 p J T I w d n J z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2 N l c 3 N F b m d p b m V l c m l u Z 1 9 0 a X R s Z V 9 l e H B v c n Q t a X R l b V 9 i b 2 9 r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2 N l c 3 N F b m d p b m V l c m l u Z 1 9 0 a X R s Z V 9 l e H B v c n Q t a X R l b V 9 i b 2 9 r I C g x K S 9 T c H J l b W V u a S B 2 c n N 0 b y 5 7 Q 2 9 u d G V u d C B 0 e X B l L D B 9 J n F 1 b 3 Q 7 L C Z x d W 9 0 O 1 N l Y 3 R p b 2 4 x L 2 F j Y 2 V z c 0 V u Z 2 l u Z W V y a W 5 n X 3 R p d G x l X 2 V 4 c G 9 y d C 1 p d G V t X 2 J v b 2 s g K D E p L 1 N w c m V t Z W 5 p I H Z y c 3 R v L n t J R C w x f S Z x d W 9 0 O y w m c X V v d D t T Z W N 0 a W 9 u M S 9 h Y 2 N l c 3 N F b m d p b m V l c m l u Z 1 9 0 a X R s Z V 9 l e H B v c n Q t a X R l b V 9 i b 2 9 r I C g x K S 9 T c H J l b W V u a S B 2 c n N 0 b y 5 7 V G l 0 b G U s M n 0 m c X V v d D s s J n F 1 b 3 Q 7 U 2 V j d G l v b j E v Y W N j Z X N z R W 5 n a W 5 l Z X J p b m d f d G l 0 b G V f Z X h w b 3 J 0 L W l 0 Z W 1 f Y m 9 v a y A o M S k v U 3 B y Z W 1 l b m k g d n J z d G 8 u e 1 B h c m V u d C B J U 0 J O L D N 9 J n F 1 b 3 Q 7 L C Z x d W 9 0 O 1 N l Y 3 R p b 2 4 x L 2 F j Y 2 V z c 0 V u Z 2 l u Z W V y a W 5 n X 3 R p d G x l X 2 V 4 c G 9 y d C 1 p d G V t X 2 J v b 2 s g K D E p L 1 N w c m V t Z W 5 p I H Z y c 3 R v L n t B d X R o b 3 I s N H 0 m c X V v d D s s J n F 1 b 3 Q 7 U 2 V j d G l v b j E v Y W N j Z X N z R W 5 n a W 5 l Z X J p b m d f d G l 0 b G V f Z X h w b 3 J 0 L W l 0 Z W 1 f Y m 9 v a y A o M S k v U 3 B y Z W 1 l b m k g d n J z d G 8 u e 1 B 1 Y m x p c 2 h l c i w 1 f S Z x d W 9 0 O y w m c X V v d D t T Z W N 0 a W 9 u M S 9 h Y 2 N l c 3 N F b m d p b m V l c m l u Z 1 9 0 a X R s Z V 9 l e H B v c n Q t a X R l b V 9 i b 2 9 r I C g x K S 9 T c H J l b W V u a S B 2 c n N 0 b y 5 7 Q 2 9 w e X J p Z 2 h 0 I H l l Y X I s N n 0 m c X V v d D s s J n F 1 b 3 Q 7 U 2 V j d G l v b j E v Y W N j Z X N z R W 5 n a W 5 l Z X J p b m d f d G l 0 b G V f Z X h w b 3 J 0 L W l 0 Z W 1 f Y m 9 v a y A o M S k v U 3 B y Z W 1 l b m k g d n J z d G 8 u e 0 R h d G U g c G 9 z d G V k L D d 9 J n F 1 b 3 Q 7 L C Z x d W 9 0 O 1 N l Y 3 R p b 2 4 x L 2 F j Y 2 V z c 0 V u Z 2 l u Z W V y a W 5 n X 3 R p d G x l X 2 V 4 c G 9 y d C 1 p d G V t X 2 J v b 2 s g K D E p L 1 N w c m V t Z W 5 p I H Z y c 3 R v L n t T d W J q Z W N 0 c y w 4 f S Z x d W 9 0 O y w m c X V v d D t T Z W N 0 a W 9 u M S 9 h Y 2 N l c 3 N F b m d p b m V l c m l u Z 1 9 0 a X R s Z V 9 l e H B v c n Q t a X R l b V 9 i b 2 9 r I C g x K S 9 T c H J l b W V u a S B 2 c n N 0 b y 5 7 V G 9 w I G x l d m V s I H N 1 Y m p l Y 3 R z L D l 9 J n F 1 b 3 Q 7 L C Z x d W 9 0 O 1 N l Y 3 R p b 2 4 x L 2 F j Y 2 V z c 0 V u Z 2 l u Z W V y a W 5 n X 3 R p d G x l X 2 V 4 c G 9 y d C 1 p d G V t X 2 J v b 2 s g K D E p L 1 N w c m V t Z W 5 p I H Z y c 3 R v L n t B c m N o a X Z l Z D 8 s M T B 9 J n F 1 b 3 Q 7 L C Z x d W 9 0 O 1 N l Y 3 R p b 2 4 x L 2 F j Y 2 V z c 0 V u Z 2 l u Z W V y a W 5 n X 3 R p d G x l X 2 V 4 c G 9 y d C 1 p d G V t X 2 J v b 2 s g K D E p L 1 N w c m V t Z W 5 p I H Z y c 3 R v L n t V U k w s M T F 9 J n F 1 b 3 Q 7 L C Z x d W 9 0 O 1 N l Y 3 R p b 2 4 x L 2 F j Y 2 V z c 0 V u Z 2 l u Z W V y a W 5 n X 3 R p d G x l X 2 V 4 c G 9 y d C 1 p d G V t X 2 J v b 2 s g K D E p L 1 N w c m V t Z W 5 p I H Z y c 3 R v L n t S Z X N v d X J j Z S B V U k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h Y 2 N l c 3 N F b m d p b m V l c m l u Z 1 9 0 a X R s Z V 9 l e H B v c n Q t a X R l b V 9 i b 2 9 r I C g x K S 9 T c H J l b W V u a S B 2 c n N 0 b y 5 7 Q 2 9 u d G V u d C B 0 e X B l L D B 9 J n F 1 b 3 Q 7 L C Z x d W 9 0 O 1 N l Y 3 R p b 2 4 x L 2 F j Y 2 V z c 0 V u Z 2 l u Z W V y a W 5 n X 3 R p d G x l X 2 V 4 c G 9 y d C 1 p d G V t X 2 J v b 2 s g K D E p L 1 N w c m V t Z W 5 p I H Z y c 3 R v L n t J R C w x f S Z x d W 9 0 O y w m c X V v d D t T Z W N 0 a W 9 u M S 9 h Y 2 N l c 3 N F b m d p b m V l c m l u Z 1 9 0 a X R s Z V 9 l e H B v c n Q t a X R l b V 9 i b 2 9 r I C g x K S 9 T c H J l b W V u a S B 2 c n N 0 b y 5 7 V G l 0 b G U s M n 0 m c X V v d D s s J n F 1 b 3 Q 7 U 2 V j d G l v b j E v Y W N j Z X N z R W 5 n a W 5 l Z X J p b m d f d G l 0 b G V f Z X h w b 3 J 0 L W l 0 Z W 1 f Y m 9 v a y A o M S k v U 3 B y Z W 1 l b m k g d n J z d G 8 u e 1 B h c m V u d C B J U 0 J O L D N 9 J n F 1 b 3 Q 7 L C Z x d W 9 0 O 1 N l Y 3 R p b 2 4 x L 2 F j Y 2 V z c 0 V u Z 2 l u Z W V y a W 5 n X 3 R p d G x l X 2 V 4 c G 9 y d C 1 p d G V t X 2 J v b 2 s g K D E p L 1 N w c m V t Z W 5 p I H Z y c 3 R v L n t B d X R o b 3 I s N H 0 m c X V v d D s s J n F 1 b 3 Q 7 U 2 V j d G l v b j E v Y W N j Z X N z R W 5 n a W 5 l Z X J p b m d f d G l 0 b G V f Z X h w b 3 J 0 L W l 0 Z W 1 f Y m 9 v a y A o M S k v U 3 B y Z W 1 l b m k g d n J z d G 8 u e 1 B 1 Y m x p c 2 h l c i w 1 f S Z x d W 9 0 O y w m c X V v d D t T Z W N 0 a W 9 u M S 9 h Y 2 N l c 3 N F b m d p b m V l c m l u Z 1 9 0 a X R s Z V 9 l e H B v c n Q t a X R l b V 9 i b 2 9 r I C g x K S 9 T c H J l b W V u a S B 2 c n N 0 b y 5 7 Q 2 9 w e X J p Z 2 h 0 I H l l Y X I s N n 0 m c X V v d D s s J n F 1 b 3 Q 7 U 2 V j d G l v b j E v Y W N j Z X N z R W 5 n a W 5 l Z X J p b m d f d G l 0 b G V f Z X h w b 3 J 0 L W l 0 Z W 1 f Y m 9 v a y A o M S k v U 3 B y Z W 1 l b m k g d n J z d G 8 u e 0 R h d G U g c G 9 z d G V k L D d 9 J n F 1 b 3 Q 7 L C Z x d W 9 0 O 1 N l Y 3 R p b 2 4 x L 2 F j Y 2 V z c 0 V u Z 2 l u Z W V y a W 5 n X 3 R p d G x l X 2 V 4 c G 9 y d C 1 p d G V t X 2 J v b 2 s g K D E p L 1 N w c m V t Z W 5 p I H Z y c 3 R v L n t T d W J q Z W N 0 c y w 4 f S Z x d W 9 0 O y w m c X V v d D t T Z W N 0 a W 9 u M S 9 h Y 2 N l c 3 N F b m d p b m V l c m l u Z 1 9 0 a X R s Z V 9 l e H B v c n Q t a X R l b V 9 i b 2 9 r I C g x K S 9 T c H J l b W V u a S B 2 c n N 0 b y 5 7 V G 9 w I G x l d m V s I H N 1 Y m p l Y 3 R z L D l 9 J n F 1 b 3 Q 7 L C Z x d W 9 0 O 1 N l Y 3 R p b 2 4 x L 2 F j Y 2 V z c 0 V u Z 2 l u Z W V y a W 5 n X 3 R p d G x l X 2 V 4 c G 9 y d C 1 p d G V t X 2 J v b 2 s g K D E p L 1 N w c m V t Z W 5 p I H Z y c 3 R v L n t B c m N o a X Z l Z D 8 s M T B 9 J n F 1 b 3 Q 7 L C Z x d W 9 0 O 1 N l Y 3 R p b 2 4 x L 2 F j Y 2 V z c 0 V u Z 2 l u Z W V y a W 5 n X 3 R p d G x l X 2 V 4 c G 9 y d C 1 p d G V t X 2 J v b 2 s g K D E p L 1 N w c m V t Z W 5 p I H Z y c 3 R v L n t V U k w s M T F 9 J n F 1 b 3 Q 7 L C Z x d W 9 0 O 1 N l Y 3 R p b 2 4 x L 2 F j Y 2 V z c 0 V u Z 2 l u Z W V y a W 5 n X 3 R p d G x l X 2 V 4 c G 9 y d C 1 p d G V t X 2 J v b 2 s g K D E p L 1 N w c m V t Z W 5 p I H Z y c 3 R v L n t S Z X N v d X J j Z S B V U k k s M T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5 0 Z W 5 0 I H R 5 c G U m c X V v d D s s J n F 1 b 3 Q 7 S U Q m c X V v d D s s J n F 1 b 3 Q 7 V G l 0 b G U m c X V v d D s s J n F 1 b 3 Q 7 U G F y Z W 5 0 I E l T Q k 4 m c X V v d D s s J n F 1 b 3 Q 7 Q X V 0 a G 9 y J n F 1 b 3 Q 7 L C Z x d W 9 0 O 1 B 1 Y m x p c 2 h l c i Z x d W 9 0 O y w m c X V v d D t D b 3 B 5 c m l n a H Q g e W V h c i Z x d W 9 0 O y w m c X V v d D t E Y X R l I H B v c 3 R l Z C Z x d W 9 0 O y w m c X V v d D t T d W J q Z W N 0 c y Z x d W 9 0 O y w m c X V v d D t U b 3 A g b G V 2 Z W w g c 3 V i a m V j d H M m c X V v d D s s J n F 1 b 3 Q 7 Q X J j a G l 2 Z W Q / J n F 1 b 3 Q 7 L C Z x d W 9 0 O 1 V S T C Z x d W 9 0 O y w m c X V v d D t S Z X N v d X J j Z S B V U k k m c X V v d D t d I i A v P j x F b n R y e S B U e X B l P S J G a W x s Q 2 9 s d W 1 u V H l w Z X M i I F Z h b H V l P S J z Q m d Z R 0 J n W U d C Z 2 t H Q m d Z R 0 J n P T 0 i I C 8 + P E V u d H J 5 I F R 5 c G U 9 I k Z p b G x M Y X N 0 V X B k Y X R l Z C I g V m F s d W U 9 I m Q y M D I 1 L T E w L T E 1 V D A 3 O j U 4 O j U 1 L j Y 5 N z I x N j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O T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h Y 2 N l c 3 N F b m d p b m V l c m l u Z 1 9 0 a X R s Z V 9 l e H B v c n Q t a X R l b V 9 i b 2 9 r J T I w K D E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j Y 2 V z c 0 V u Z 2 l u Z W V y a W 5 n X 3 R p d G x l X 2 V 4 c G 9 y d C 1 p d G V t X 2 J v b 2 s l M j A o M S k v U H J 2 b y U y M H Z y c 3 R p Y 2 8 l M j B 1 c G 9 y Y W J p J T I w a 2 9 0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2 N l c 3 N F b m d p b m V l c m l u Z 1 9 0 a X R s Z V 9 l e H B v c n Q t a X R l b V 9 i b 2 9 r J T I w K D E p L 1 N w c m V t Z W 5 p J T I w d n J z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2 N l c 3 N F b m d p b m V l c m l u Z 0 t C Q V J U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Y 2 N l c 3 N F b m d p b m V l c m l u Z 0 t C Q V J U I C g x K S 9 T c H J l b W V u a S B 2 c n N 0 b y 5 7 c H V i b G l z a G V k X 3 R p d G x l L D B 9 J n F 1 b 3 Q 7 L C Z x d W 9 0 O 1 N l Y 3 R p b 2 4 x L 0 F j Y 2 V z c 0 V u Z 2 l u Z W V y a W 5 n S 0 J B U l Q g K D E p L 1 N w c m V t Z W 5 p I H Z y c 3 R v L n t w c m l u d F 9 p Z G V u d G l m a W V y L D F 9 J n F 1 b 3 Q 7 L C Z x d W 9 0 O 1 N l Y 3 R p b 2 4 x L 0 F j Y 2 V z c 0 V u Z 2 l u Z W V y a W 5 n S 0 J B U l Q g K D E p L 1 N w c m V t Z W 5 p I H Z y c 3 R v L n t v b m x p b m V f a W R l b n R p Z m l l c i w y f S Z x d W 9 0 O y w m c X V v d D t T Z W N 0 a W 9 u M S 9 B Y 2 N l c 3 N F b m d p b m V l c m l u Z 0 t C Q V J U I C g x K S 9 T c H J l b W V u a S B 2 c n N 0 b y 5 7 Z G F 0 Z V 9 m a X J z d F 9 p c 3 N 1 Z V 9 v b m x p b m U s M 3 0 m c X V v d D s s J n F 1 b 3 Q 7 U 2 V j d G l v b j E v Q W N j Z X N z R W 5 n a W 5 l Z X J p b m d L Q k F S V C A o M S k v U 3 B y Z W 1 l b m k g d n J z d G 8 u e 2 5 1 b V 9 m a X J z d F 9 2 b 2 x f b 2 5 s a W 5 l L D R 9 J n F 1 b 3 Q 7 L C Z x d W 9 0 O 1 N l Y 3 R p b 2 4 x L 0 F j Y 2 V z c 0 V u Z 2 l u Z W V y a W 5 n S 0 J B U l Q g K D E p L 1 N w c m V t Z W 5 p I H Z y c 3 R v L n t u d W 1 f Z m l y c 3 R f a X N z d W V f b 2 5 s a W 5 l L D V 9 J n F 1 b 3 Q 7 L C Z x d W 9 0 O 1 N l Y 3 R p b 2 4 x L 0 F j Y 2 V z c 0 V u Z 2 l u Z W V y a W 5 n S 0 J B U l Q g K D E p L 1 N w c m V t Z W 5 p I H Z y c 3 R v L n t k Y X R l X 2 x h c 3 R f a X N z d W V f b 2 5 s a W 5 l L D Z 9 J n F 1 b 3 Q 7 L C Z x d W 9 0 O 1 N l Y 3 R p b 2 4 x L 0 F j Y 2 V z c 0 V u Z 2 l u Z W V y a W 5 n S 0 J B U l Q g K D E p L 1 N w c m V t Z W 5 p I H Z y c 3 R v L n t u d W 1 f b G F z d F 9 2 b 2 x f b 2 5 s a W 5 l L D d 9 J n F 1 b 3 Q 7 L C Z x d W 9 0 O 1 N l Y 3 R p b 2 4 x L 0 F j Y 2 V z c 0 V u Z 2 l u Z W V y a W 5 n S 0 J B U l Q g K D E p L 1 N w c m V t Z W 5 p I H Z y c 3 R v L n t u d W 1 f b G F z d F 9 p c 3 N 1 Z V 9 v b m x p b m U s O H 0 m c X V v d D s s J n F 1 b 3 Q 7 U 2 V j d G l v b j E v Q W N j Z X N z R W 5 n a W 5 l Z X J p b m d L Q k F S V C A o M S k v U 3 B y Z W 1 l b m k g d n J z d G 8 u e 3 R p d G x l X 3 V y b C w 5 f S Z x d W 9 0 O y w m c X V v d D t T Z W N 0 a W 9 u M S 9 B Y 2 N l c 3 N F b m d p b m V l c m l u Z 0 t C Q V J U I C g x K S 9 T c H J l b W V u a S B 2 c n N 0 b y 5 7 Z m l y c 3 R f Y X V 0 a G 9 y L D E w f S Z x d W 9 0 O y w m c X V v d D t T Z W N 0 a W 9 u M S 9 B Y 2 N l c 3 N F b m d p b m V l c m l u Z 0 t C Q V J U I C g x K S 9 T c H J l b W V u a S B 2 c n N 0 b y 5 7 d G l 0 b G V f a W Q s M T F 9 J n F 1 b 3 Q 7 L C Z x d W 9 0 O 1 N l Y 3 R p b 2 4 x L 0 F j Y 2 V z c 0 V u Z 2 l u Z W V y a W 5 n S 0 J B U l Q g K D E p L 1 N w c m V t Z W 5 p I H Z y c 3 R v L n t l b W J h c m d v X 2 l u Z m 8 s M T J 9 J n F 1 b 3 Q 7 L C Z x d W 9 0 O 1 N l Y 3 R p b 2 4 x L 0 F j Y 2 V z c 0 V u Z 2 l u Z W V y a W 5 n S 0 J B U l Q g K D E p L 1 N w c m V t Z W 5 p I H Z y c 3 R v L n t j b 3 Z l c m F n Z V 9 k Z X B 0 a C w x M 3 0 m c X V v d D s s J n F 1 b 3 Q 7 U 2 V j d G l v b j E v Q W N j Z X N z R W 5 n a W 5 l Z X J p b m d L Q k F S V C A o M S k v U 3 B y Z W 1 l b m k g d n J z d G 8 u e 2 5 v d G V z L D E 0 f S Z x d W 9 0 O y w m c X V v d D t T Z W N 0 a W 9 u M S 9 B Y 2 N l c 3 N F b m d p b m V l c m l u Z 0 t C Q V J U I C g x K S 9 T c H J l b W V u a S B 2 c n N 0 b y 5 7 c H V i b G l z a G V y X 2 5 h b W U s M T V 9 J n F 1 b 3 Q 7 L C Z x d W 9 0 O 1 N l Y 3 R p b 2 4 x L 0 F j Y 2 V z c 0 V u Z 2 l u Z W V y a W 5 n S 0 J B U l Q g K D E p L 1 N w c m V t Z W 5 p I H Z y c 3 R v L n t w d W J s a W N h d G l v b l 9 0 e X B l L D E 2 f S Z x d W 9 0 O y w m c X V v d D t T Z W N 0 a W 9 u M S 9 B Y 2 N l c 3 N F b m d p b m V l c m l u Z 0 t C Q V J U I C g x K S 9 T c H J l b W V u a S B 2 c n N 0 b y 5 7 Z G F 0 Z V 9 t b 2 5 v Z 3 J h c G h f c H V i b G l z a G V k X 3 B y a W 5 0 L D E 3 f S Z x d W 9 0 O y w m c X V v d D t T Z W N 0 a W 9 u M S 9 B Y 2 N l c 3 N F b m d p b m V l c m l u Z 0 t C Q V J U I C g x K S 9 T c H J l b W V u a S B 2 c n N 0 b y 5 7 Z G F 0 Z V 9 t b 2 5 v Z 3 J h c G h f c H V i b G l z a G V k X 2 9 u b G l u Z S w x O H 0 m c X V v d D s s J n F 1 b 3 Q 7 U 2 V j d G l v b j E v Q W N j Z X N z R W 5 n a W 5 l Z X J p b m d L Q k F S V C A o M S k v U 3 B y Z W 1 l b m k g d n J z d G 8 u e 2 1 v b m 9 n c m F w a F 9 2 b 2 x 1 b W U s M T l 9 J n F 1 b 3 Q 7 L C Z x d W 9 0 O 1 N l Y 3 R p b 2 4 x L 0 F j Y 2 V z c 0 V u Z 2 l u Z W V y a W 5 n S 0 J B U l Q g K D E p L 1 N w c m V t Z W 5 p I H Z y c 3 R v L n t t b 2 5 v Z 3 J h c G h f Z W R p d G l v b i w y M H 0 m c X V v d D s s J n F 1 b 3 Q 7 U 2 V j d G l v b j E v Q W N j Z X N z R W 5 n a W 5 l Z X J p b m d L Q k F S V C A o M S k v U 3 B y Z W 1 l b m k g d n J z d G 8 u e 2 Z p c n N 0 X 2 V k a X R v c i w y M X 0 m c X V v d D s s J n F 1 b 3 Q 7 U 2 V j d G l v b j E v Q W N j Z X N z R W 5 n a W 5 l Z X J p b m d L Q k F S V C A o M S k v U 3 B y Z W 1 l b m k g d n J z d G 8 u e 3 B h c m V u d F 9 w d W J s a W N h d G l v b l 9 0 a X R s Z V 9 p Z C w y M n 0 m c X V v d D s s J n F 1 b 3 Q 7 U 2 V j d G l v b j E v Q W N j Z X N z R W 5 n a W 5 l Z X J p b m d L Q k F S V C A o M S k v U 3 B y Z W 1 l b m k g d n J z d G 8 u e 3 B y Z W N l Z G l u Z 1 9 w d W J s a W N h d G l v b l 9 0 a X R s Z V 9 p Z C w y M 3 0 m c X V v d D s s J n F 1 b 3 Q 7 U 2 V j d G l v b j E v Q W N j Z X N z R W 5 n a W 5 l Z X J p b m d L Q k F S V C A o M S k v U 3 B y Z W 1 l b m k g d n J z d G 8 u e 2 F j Y 2 V z c 1 9 0 e X B l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W N j Z X N z R W 5 n a W 5 l Z X J p b m d L Q k F S V C A o M S k v U 3 B y Z W 1 l b m k g d n J z d G 8 u e 3 B 1 Y m x p c 2 h l Z F 9 0 a X R s Z S w w f S Z x d W 9 0 O y w m c X V v d D t T Z W N 0 a W 9 u M S 9 B Y 2 N l c 3 N F b m d p b m V l c m l u Z 0 t C Q V J U I C g x K S 9 T c H J l b W V u a S B 2 c n N 0 b y 5 7 c H J p b n R f a W R l b n R p Z m l l c i w x f S Z x d W 9 0 O y w m c X V v d D t T Z W N 0 a W 9 u M S 9 B Y 2 N l c 3 N F b m d p b m V l c m l u Z 0 t C Q V J U I C g x K S 9 T c H J l b W V u a S B 2 c n N 0 b y 5 7 b 2 5 s a W 5 l X 2 l k Z W 5 0 a W Z p Z X I s M n 0 m c X V v d D s s J n F 1 b 3 Q 7 U 2 V j d G l v b j E v Q W N j Z X N z R W 5 n a W 5 l Z X J p b m d L Q k F S V C A o M S k v U 3 B y Z W 1 l b m k g d n J z d G 8 u e 2 R h d G V f Z m l y c 3 R f a X N z d W V f b 2 5 s a W 5 l L D N 9 J n F 1 b 3 Q 7 L C Z x d W 9 0 O 1 N l Y 3 R p b 2 4 x L 0 F j Y 2 V z c 0 V u Z 2 l u Z W V y a W 5 n S 0 J B U l Q g K D E p L 1 N w c m V t Z W 5 p I H Z y c 3 R v L n t u d W 1 f Z m l y c 3 R f d m 9 s X 2 9 u b G l u Z S w 0 f S Z x d W 9 0 O y w m c X V v d D t T Z W N 0 a W 9 u M S 9 B Y 2 N l c 3 N F b m d p b m V l c m l u Z 0 t C Q V J U I C g x K S 9 T c H J l b W V u a S B 2 c n N 0 b y 5 7 b n V t X 2 Z p c n N 0 X 2 l z c 3 V l X 2 9 u b G l u Z S w 1 f S Z x d W 9 0 O y w m c X V v d D t T Z W N 0 a W 9 u M S 9 B Y 2 N l c 3 N F b m d p b m V l c m l u Z 0 t C Q V J U I C g x K S 9 T c H J l b W V u a S B 2 c n N 0 b y 5 7 Z G F 0 Z V 9 s Y X N 0 X 2 l z c 3 V l X 2 9 u b G l u Z S w 2 f S Z x d W 9 0 O y w m c X V v d D t T Z W N 0 a W 9 u M S 9 B Y 2 N l c 3 N F b m d p b m V l c m l u Z 0 t C Q V J U I C g x K S 9 T c H J l b W V u a S B 2 c n N 0 b y 5 7 b n V t X 2 x h c 3 R f d m 9 s X 2 9 u b G l u Z S w 3 f S Z x d W 9 0 O y w m c X V v d D t T Z W N 0 a W 9 u M S 9 B Y 2 N l c 3 N F b m d p b m V l c m l u Z 0 t C Q V J U I C g x K S 9 T c H J l b W V u a S B 2 c n N 0 b y 5 7 b n V t X 2 x h c 3 R f a X N z d W V f b 2 5 s a W 5 l L D h 9 J n F 1 b 3 Q 7 L C Z x d W 9 0 O 1 N l Y 3 R p b 2 4 x L 0 F j Y 2 V z c 0 V u Z 2 l u Z W V y a W 5 n S 0 J B U l Q g K D E p L 1 N w c m V t Z W 5 p I H Z y c 3 R v L n t 0 a X R s Z V 9 1 c m w s O X 0 m c X V v d D s s J n F 1 b 3 Q 7 U 2 V j d G l v b j E v Q W N j Z X N z R W 5 n a W 5 l Z X J p b m d L Q k F S V C A o M S k v U 3 B y Z W 1 l b m k g d n J z d G 8 u e 2 Z p c n N 0 X 2 F 1 d G h v c i w x M H 0 m c X V v d D s s J n F 1 b 3 Q 7 U 2 V j d G l v b j E v Q W N j Z X N z R W 5 n a W 5 l Z X J p b m d L Q k F S V C A o M S k v U 3 B y Z W 1 l b m k g d n J z d G 8 u e 3 R p d G x l X 2 l k L D E x f S Z x d W 9 0 O y w m c X V v d D t T Z W N 0 a W 9 u M S 9 B Y 2 N l c 3 N F b m d p b m V l c m l u Z 0 t C Q V J U I C g x K S 9 T c H J l b W V u a S B 2 c n N 0 b y 5 7 Z W 1 i Y X J n b 1 9 p b m Z v L D E y f S Z x d W 9 0 O y w m c X V v d D t T Z W N 0 a W 9 u M S 9 B Y 2 N l c 3 N F b m d p b m V l c m l u Z 0 t C Q V J U I C g x K S 9 T c H J l b W V u a S B 2 c n N 0 b y 5 7 Y 2 9 2 Z X J h Z 2 V f Z G V w d G g s M T N 9 J n F 1 b 3 Q 7 L C Z x d W 9 0 O 1 N l Y 3 R p b 2 4 x L 0 F j Y 2 V z c 0 V u Z 2 l u Z W V y a W 5 n S 0 J B U l Q g K D E p L 1 N w c m V t Z W 5 p I H Z y c 3 R v L n t u b 3 R l c y w x N H 0 m c X V v d D s s J n F 1 b 3 Q 7 U 2 V j d G l v b j E v Q W N j Z X N z R W 5 n a W 5 l Z X J p b m d L Q k F S V C A o M S k v U 3 B y Z W 1 l b m k g d n J z d G 8 u e 3 B 1 Y m x p c 2 h l c l 9 u Y W 1 l L D E 1 f S Z x d W 9 0 O y w m c X V v d D t T Z W N 0 a W 9 u M S 9 B Y 2 N l c 3 N F b m d p b m V l c m l u Z 0 t C Q V J U I C g x K S 9 T c H J l b W V u a S B 2 c n N 0 b y 5 7 c H V i b G l j Y X R p b 2 5 f d H l w Z S w x N n 0 m c X V v d D s s J n F 1 b 3 Q 7 U 2 V j d G l v b j E v Q W N j Z X N z R W 5 n a W 5 l Z X J p b m d L Q k F S V C A o M S k v U 3 B y Z W 1 l b m k g d n J z d G 8 u e 2 R h d G V f b W 9 u b 2 d y Y X B o X 3 B 1 Y m x p c 2 h l Z F 9 w c m l u d C w x N 3 0 m c X V v d D s s J n F 1 b 3 Q 7 U 2 V j d G l v b j E v Q W N j Z X N z R W 5 n a W 5 l Z X J p b m d L Q k F S V C A o M S k v U 3 B y Z W 1 l b m k g d n J z d G 8 u e 2 R h d G V f b W 9 u b 2 d y Y X B o X 3 B 1 Y m x p c 2 h l Z F 9 v b m x p b m U s M T h 9 J n F 1 b 3 Q 7 L C Z x d W 9 0 O 1 N l Y 3 R p b 2 4 x L 0 F j Y 2 V z c 0 V u Z 2 l u Z W V y a W 5 n S 0 J B U l Q g K D E p L 1 N w c m V t Z W 5 p I H Z y c 3 R v L n t t b 2 5 v Z 3 J h c G h f d m 9 s d W 1 l L D E 5 f S Z x d W 9 0 O y w m c X V v d D t T Z W N 0 a W 9 u M S 9 B Y 2 N l c 3 N F b m d p b m V l c m l u Z 0 t C Q V J U I C g x K S 9 T c H J l b W V u a S B 2 c n N 0 b y 5 7 b W 9 u b 2 d y Y X B o X 2 V k a X R p b 2 4 s M j B 9 J n F 1 b 3 Q 7 L C Z x d W 9 0 O 1 N l Y 3 R p b 2 4 x L 0 F j Y 2 V z c 0 V u Z 2 l u Z W V y a W 5 n S 0 J B U l Q g K D E p L 1 N w c m V t Z W 5 p I H Z y c 3 R v L n t m a X J z d F 9 l Z G l 0 b 3 I s M j F 9 J n F 1 b 3 Q 7 L C Z x d W 9 0 O 1 N l Y 3 R p b 2 4 x L 0 F j Y 2 V z c 0 V u Z 2 l u Z W V y a W 5 n S 0 J B U l Q g K D E p L 1 N w c m V t Z W 5 p I H Z y c 3 R v L n t w Y X J l b n R f c H V i b G l j Y X R p b 2 5 f d G l 0 b G V f a W Q s M j J 9 J n F 1 b 3 Q 7 L C Z x d W 9 0 O 1 N l Y 3 R p b 2 4 x L 0 F j Y 2 V z c 0 V u Z 2 l u Z W V y a W 5 n S 0 J B U l Q g K D E p L 1 N w c m V t Z W 5 p I H Z y c 3 R v L n t w c m V j Z W R p b m d f c H V i b G l j Y X R p b 2 5 f d G l 0 b G V f a W Q s M j N 9 J n F 1 b 3 Q 7 L C Z x d W 9 0 O 1 N l Y 3 R p b 2 4 x L 0 F j Y 2 V z c 0 V u Z 2 l u Z W V y a W 5 n S 0 J B U l Q g K D E p L 1 N w c m V t Z W 5 p I H Z y c 3 R v L n t h Y 2 N l c 3 N f d H l w Z S w y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3 B 1 Y m x p c 2 h l Z F 9 0 a X R s Z S Z x d W 9 0 O y w m c X V v d D t w c m l u d F 9 p Z G V u d G l m a W V y J n F 1 b 3 Q 7 L C Z x d W 9 0 O 2 9 u b G l u Z V 9 p Z G V u d G l m a W V y J n F 1 b 3 Q 7 L C Z x d W 9 0 O 2 R h d G V f Z m l y c 3 R f a X N z d W V f b 2 5 s a W 5 l J n F 1 b 3 Q 7 L C Z x d W 9 0 O 2 5 1 b V 9 m a X J z d F 9 2 b 2 x f b 2 5 s a W 5 l J n F 1 b 3 Q 7 L C Z x d W 9 0 O 2 5 1 b V 9 m a X J z d F 9 p c 3 N 1 Z V 9 v b m x p b m U m c X V v d D s s J n F 1 b 3 Q 7 Z G F 0 Z V 9 s Y X N 0 X 2 l z c 3 V l X 2 9 u b G l u Z S Z x d W 9 0 O y w m c X V v d D t u d W 1 f b G F z d F 9 2 b 2 x f b 2 5 s a W 5 l J n F 1 b 3 Q 7 L C Z x d W 9 0 O 2 5 1 b V 9 s Y X N 0 X 2 l z c 3 V l X 2 9 u b G l u Z S Z x d W 9 0 O y w m c X V v d D t 0 a X R s Z V 9 1 c m w m c X V v d D s s J n F 1 b 3 Q 7 Z m l y c 3 R f Y X V 0 a G 9 y J n F 1 b 3 Q 7 L C Z x d W 9 0 O 3 R p d G x l X 2 l k J n F 1 b 3 Q 7 L C Z x d W 9 0 O 2 V t Y m F y Z 2 9 f a W 5 m b y Z x d W 9 0 O y w m c X V v d D t j b 3 Z l c m F n Z V 9 k Z X B 0 a C Z x d W 9 0 O y w m c X V v d D t u b 3 R l c y Z x d W 9 0 O y w m c X V v d D t w d W J s a X N o Z X J f b m F t Z S Z x d W 9 0 O y w m c X V v d D t w d W J s a W N h d G l v b l 9 0 e X B l J n F 1 b 3 Q 7 L C Z x d W 9 0 O 2 R h d G V f b W 9 u b 2 d y Y X B o X 3 B 1 Y m x p c 2 h l Z F 9 w c m l u d C Z x d W 9 0 O y w m c X V v d D t k Y X R l X 2 1 v b m 9 n c m F w a F 9 w d W J s a X N o Z W R f b 2 5 s a W 5 l J n F 1 b 3 Q 7 L C Z x d W 9 0 O 2 1 v b m 9 n c m F w a F 9 2 b 2 x 1 b W U m c X V v d D s s J n F 1 b 3 Q 7 b W 9 u b 2 d y Y X B o X 2 V k a X R p b 2 4 m c X V v d D s s J n F 1 b 3 Q 7 Z m l y c 3 R f Z W R p d G 9 y J n F 1 b 3 Q 7 L C Z x d W 9 0 O 3 B h c m V u d F 9 w d W J s a W N h d G l v b l 9 0 a X R s Z V 9 p Z C Z x d W 9 0 O y w m c X V v d D t w c m V j Z W R p b m d f c H V i b G l j Y X R p b 2 5 f d G l 0 b G V f a W Q m c X V v d D s s J n F 1 b 3 Q 7 Y W N j Z X N z X 3 R 5 c G U m c X V v d D t d I i A v P j x F b n R y e S B U e X B l P S J G a W x s Q 2 9 s d W 1 u V H l w Z X M i I F Z h b H V l P S J z Q m d N R E J n W U d C Z 1 l H Q m d Z R 0 J n W U d C Z 1 l H Q m d Z R 0 J n W U d C Z z 0 9 I i A v P j x F b n R y e S B U e X B l P S J G a W x s T G F z d F V w Z G F 0 Z W Q i I F Z h b H V l P S J k M j A y N S 0 x M C 0 x N V Q w O D o w O T o 1 M C 4 4 M T Q 1 N D E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T k 4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N j Z X N z R W 5 n a W 5 l Z X J p b m d L Q k F S V C U y M C g x K S 9 W a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2 N l c 3 N F b m d p b m V l c m l u Z 0 t C Q V J U J T I w K D E p L 1 B y d m 8 l M j B 2 c n N 0 a W N v J T I w d X B v c m F i a S U y M G t v d C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j Z X N z R W 5 n a W 5 l Z X J p b m d L Q k F S V C U y M C g x K S 9 T c H J l b W V u a S U y M H Z y c 3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j Z X N z R W 5 n a W 5 l Z X J p b m d L Q k F S V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S 3 J t Y X J q Z W 5 q Z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N j Z X N z R W 5 n a W 5 l Z X J p b m d L Q k F S V C A o M S k v U 3 B y Z W 1 l b m k g d n J z d G 8 u e 3 B 1 Y m x p c 2 h l Z F 9 0 a X R s Z S w w f S Z x d W 9 0 O y w m c X V v d D t T Z W N 0 a W 9 u M S 9 B Y 2 N l c 3 N F b m d p b m V l c m l u Z 0 t C Q V J U I C g x K S 9 T c H J l b W V u a S B 2 c n N 0 b y 5 7 c H J p b n R f a W R l b n R p Z m l l c i w x f S Z x d W 9 0 O y w m c X V v d D t T Z W N 0 a W 9 u M S 9 B Y 2 N l c 3 N F b m d p b m V l c m l u Z 0 t C Q V J U I C g x K S 9 T c H J l b W V u a S B 2 c n N 0 b y 5 7 b 2 5 s a W 5 l X 2 l k Z W 5 0 a W Z p Z X I s M n 0 m c X V v d D s s J n F 1 b 3 Q 7 U 2 V j d G l v b j E v Q W N j Z X N z R W 5 n a W 5 l Z X J p b m d L Q k F S V C A o M S k v U 3 B y Z W 1 l b m k g d n J z d G 8 u e 2 R h d G V f Z m l y c 3 R f a X N z d W V f b 2 5 s a W 5 l L D N 9 J n F 1 b 3 Q 7 L C Z x d W 9 0 O 1 N l Y 3 R p b 2 4 x L 0 F j Y 2 V z c 0 V u Z 2 l u Z W V y a W 5 n S 0 J B U l Q g K D E p L 1 N w c m V t Z W 5 p I H Z y c 3 R v L n t u d W 1 f Z m l y c 3 R f d m 9 s X 2 9 u b G l u Z S w 0 f S Z x d W 9 0 O y w m c X V v d D t T Z W N 0 a W 9 u M S 9 B Y 2 N l c 3 N F b m d p b m V l c m l u Z 0 t C Q V J U I C g x K S 9 T c H J l b W V u a S B 2 c n N 0 b y 5 7 b n V t X 2 Z p c n N 0 X 2 l z c 3 V l X 2 9 u b G l u Z S w 1 f S Z x d W 9 0 O y w m c X V v d D t T Z W N 0 a W 9 u M S 9 B Y 2 N l c 3 N F b m d p b m V l c m l u Z 0 t C Q V J U I C g x K S 9 T c H J l b W V u a S B 2 c n N 0 b y 5 7 Z G F 0 Z V 9 s Y X N 0 X 2 l z c 3 V l X 2 9 u b G l u Z S w 2 f S Z x d W 9 0 O y w m c X V v d D t T Z W N 0 a W 9 u M S 9 B Y 2 N l c 3 N F b m d p b m V l c m l u Z 0 t C Q V J U I C g x K S 9 T c H J l b W V u a S B 2 c n N 0 b y 5 7 b n V t X 2 x h c 3 R f d m 9 s X 2 9 u b G l u Z S w 3 f S Z x d W 9 0 O y w m c X V v d D t T Z W N 0 a W 9 u M S 9 B Y 2 N l c 3 N F b m d p b m V l c m l u Z 0 t C Q V J U I C g x K S 9 T c H J l b W V u a S B 2 c n N 0 b y 5 7 b n V t X 2 x h c 3 R f a X N z d W V f b 2 5 s a W 5 l L D h 9 J n F 1 b 3 Q 7 L C Z x d W 9 0 O 1 N l Y 3 R p b 2 4 x L 0 F j Y 2 V z c 0 V u Z 2 l u Z W V y a W 5 n S 0 J B U l Q g K D E p L 1 N w c m V t Z W 5 p I H Z y c 3 R v L n t 0 a X R s Z V 9 1 c m w s O X 0 m c X V v d D s s J n F 1 b 3 Q 7 U 2 V j d G l v b j E v Q W N j Z X N z R W 5 n a W 5 l Z X J p b m d L Q k F S V C A o M S k v U 3 B y Z W 1 l b m k g d n J z d G 8 u e 2 Z p c n N 0 X 2 F 1 d G h v c i w x M H 0 m c X V v d D s s J n F 1 b 3 Q 7 U 2 V j d G l v b j E v Q W N j Z X N z R W 5 n a W 5 l Z X J p b m d L Q k F S V C A o M S k v U 3 B y Z W 1 l b m k g d n J z d G 8 u e 3 R p d G x l X 2 l k L D E x f S Z x d W 9 0 O y w m c X V v d D t T Z W N 0 a W 9 u M S 9 B Y 2 N l c 3 N F b m d p b m V l c m l u Z 0 t C Q V J U I C g x K S 9 T c H J l b W V u a S B 2 c n N 0 b y 5 7 Z W 1 i Y X J n b 1 9 p b m Z v L D E y f S Z x d W 9 0 O y w m c X V v d D t T Z W N 0 a W 9 u M S 9 B Y 2 N l c 3 N F b m d p b m V l c m l u Z 0 t C Q V J U I C g x K S 9 T c H J l b W V u a S B 2 c n N 0 b y 5 7 Y 2 9 2 Z X J h Z 2 V f Z G V w d G g s M T N 9 J n F 1 b 3 Q 7 L C Z x d W 9 0 O 1 N l Y 3 R p b 2 4 x L 0 F j Y 2 V z c 0 V u Z 2 l u Z W V y a W 5 n S 0 J B U l Q g K D E p L 1 N w c m V t Z W 5 p I H Z y c 3 R v L n t u b 3 R l c y w x N H 0 m c X V v d D s s J n F 1 b 3 Q 7 U 2 V j d G l v b j E v Q W N j Z X N z R W 5 n a W 5 l Z X J p b m d L Q k F S V C A o M S k v U 3 B y Z W 1 l b m k g d n J z d G 8 u e 3 B 1 Y m x p c 2 h l c l 9 u Y W 1 l L D E 1 f S Z x d W 9 0 O y w m c X V v d D t T Z W N 0 a W 9 u M S 9 B Y 2 N l c 3 N F b m d p b m V l c m l u Z 0 t C Q V J U I C g x K S 9 T c H J l b W V u a S B 2 c n N 0 b y 5 7 c H V i b G l j Y X R p b 2 5 f d H l w Z S w x N n 0 m c X V v d D s s J n F 1 b 3 Q 7 U 2 V j d G l v b j E v Q W N j Z X N z R W 5 n a W 5 l Z X J p b m d L Q k F S V C A o M S k v U 3 B y Z W 1 l b m k g d n J z d G 8 u e 2 R h d G V f b W 9 u b 2 d y Y X B o X 3 B 1 Y m x p c 2 h l Z F 9 w c m l u d C w x N 3 0 m c X V v d D s s J n F 1 b 3 Q 7 U 2 V j d G l v b j E v Q W N j Z X N z R W 5 n a W 5 l Z X J p b m d L Q k F S V C A o M S k v U 3 B y Z W 1 l b m k g d n J z d G 8 u e 2 R h d G V f b W 9 u b 2 d y Y X B o X 3 B 1 Y m x p c 2 h l Z F 9 v b m x p b m U s M T h 9 J n F 1 b 3 Q 7 L C Z x d W 9 0 O 1 N l Y 3 R p b 2 4 x L 0 F j Y 2 V z c 0 V u Z 2 l u Z W V y a W 5 n S 0 J B U l Q g K D E p L 1 N w c m V t Z W 5 p I H Z y c 3 R v L n t t b 2 5 v Z 3 J h c G h f d m 9 s d W 1 l L D E 5 f S Z x d W 9 0 O y w m c X V v d D t T Z W N 0 a W 9 u M S 9 B Y 2 N l c 3 N F b m d p b m V l c m l u Z 0 t C Q V J U I C g x K S 9 T c H J l b W V u a S B 2 c n N 0 b y 5 7 b W 9 u b 2 d y Y X B o X 2 V k a X R p b 2 4 s M j B 9 J n F 1 b 3 Q 7 L C Z x d W 9 0 O 1 N l Y 3 R p b 2 4 x L 0 F j Y 2 V z c 0 V u Z 2 l u Z W V y a W 5 n S 0 J B U l Q g K D E p L 1 N w c m V t Z W 5 p I H Z y c 3 R v L n t m a X J z d F 9 l Z G l 0 b 3 I s M j F 9 J n F 1 b 3 Q 7 L C Z x d W 9 0 O 1 N l Y 3 R p b 2 4 x L 0 F j Y 2 V z c 0 V u Z 2 l u Z W V y a W 5 n S 0 J B U l Q g K D E p L 1 N w c m V t Z W 5 p I H Z y c 3 R v L n t w Y X J l b n R f c H V i b G l j Y X R p b 2 5 f d G l 0 b G V f a W Q s M j J 9 J n F 1 b 3 Q 7 L C Z x d W 9 0 O 1 N l Y 3 R p b 2 4 x L 0 F j Y 2 V z c 0 V u Z 2 l u Z W V y a W 5 n S 0 J B U l Q g K D E p L 1 N w c m V t Z W 5 p I H Z y c 3 R v L n t w c m V j Z W R p b m d f c H V i b G l j Y X R p b 2 5 f d G l 0 b G V f a W Q s M j N 9 J n F 1 b 3 Q 7 L C Z x d W 9 0 O 1 N l Y 3 R p b 2 4 x L 0 F j Y 2 V z c 0 V u Z 2 l u Z W V y a W 5 n S 0 J B U l Q g K D E p L 1 N w c m V t Z W 5 p I H Z y c 3 R v L n t h Y 2 N l c 3 N f d H l w Z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0 F j Y 2 V z c 0 V u Z 2 l u Z W V y a W 5 n S 0 J B U l Q g K D E p L 1 N w c m V t Z W 5 p I H Z y c 3 R v L n t w d W J s a X N o Z W R f d G l 0 b G U s M H 0 m c X V v d D s s J n F 1 b 3 Q 7 U 2 V j d G l v b j E v Q W N j Z X N z R W 5 n a W 5 l Z X J p b m d L Q k F S V C A o M S k v U 3 B y Z W 1 l b m k g d n J z d G 8 u e 3 B y a W 5 0 X 2 l k Z W 5 0 a W Z p Z X I s M X 0 m c X V v d D s s J n F 1 b 3 Q 7 U 2 V j d G l v b j E v Q W N j Z X N z R W 5 n a W 5 l Z X J p b m d L Q k F S V C A o M S k v U 3 B y Z W 1 l b m k g d n J z d G 8 u e 2 9 u b G l u Z V 9 p Z G V u d G l m a W V y L D J 9 J n F 1 b 3 Q 7 L C Z x d W 9 0 O 1 N l Y 3 R p b 2 4 x L 0 F j Y 2 V z c 0 V u Z 2 l u Z W V y a W 5 n S 0 J B U l Q g K D E p L 1 N w c m V t Z W 5 p I H Z y c 3 R v L n t k Y X R l X 2 Z p c n N 0 X 2 l z c 3 V l X 2 9 u b G l u Z S w z f S Z x d W 9 0 O y w m c X V v d D t T Z W N 0 a W 9 u M S 9 B Y 2 N l c 3 N F b m d p b m V l c m l u Z 0 t C Q V J U I C g x K S 9 T c H J l b W V u a S B 2 c n N 0 b y 5 7 b n V t X 2 Z p c n N 0 X 3 Z v b F 9 v b m x p b m U s N H 0 m c X V v d D s s J n F 1 b 3 Q 7 U 2 V j d G l v b j E v Q W N j Z X N z R W 5 n a W 5 l Z X J p b m d L Q k F S V C A o M S k v U 3 B y Z W 1 l b m k g d n J z d G 8 u e 2 5 1 b V 9 m a X J z d F 9 p c 3 N 1 Z V 9 v b m x p b m U s N X 0 m c X V v d D s s J n F 1 b 3 Q 7 U 2 V j d G l v b j E v Q W N j Z X N z R W 5 n a W 5 l Z X J p b m d L Q k F S V C A o M S k v U 3 B y Z W 1 l b m k g d n J z d G 8 u e 2 R h d G V f b G F z d F 9 p c 3 N 1 Z V 9 v b m x p b m U s N n 0 m c X V v d D s s J n F 1 b 3 Q 7 U 2 V j d G l v b j E v Q W N j Z X N z R W 5 n a W 5 l Z X J p b m d L Q k F S V C A o M S k v U 3 B y Z W 1 l b m k g d n J z d G 8 u e 2 5 1 b V 9 s Y X N 0 X 3 Z v b F 9 v b m x p b m U s N 3 0 m c X V v d D s s J n F 1 b 3 Q 7 U 2 V j d G l v b j E v Q W N j Z X N z R W 5 n a W 5 l Z X J p b m d L Q k F S V C A o M S k v U 3 B y Z W 1 l b m k g d n J z d G 8 u e 2 5 1 b V 9 s Y X N 0 X 2 l z c 3 V l X 2 9 u b G l u Z S w 4 f S Z x d W 9 0 O y w m c X V v d D t T Z W N 0 a W 9 u M S 9 B Y 2 N l c 3 N F b m d p b m V l c m l u Z 0 t C Q V J U I C g x K S 9 T c H J l b W V u a S B 2 c n N 0 b y 5 7 d G l 0 b G V f d X J s L D l 9 J n F 1 b 3 Q 7 L C Z x d W 9 0 O 1 N l Y 3 R p b 2 4 x L 0 F j Y 2 V z c 0 V u Z 2 l u Z W V y a W 5 n S 0 J B U l Q g K D E p L 1 N w c m V t Z W 5 p I H Z y c 3 R v L n t m a X J z d F 9 h d X R o b 3 I s M T B 9 J n F 1 b 3 Q 7 L C Z x d W 9 0 O 1 N l Y 3 R p b 2 4 x L 0 F j Y 2 V z c 0 V u Z 2 l u Z W V y a W 5 n S 0 J B U l Q g K D E p L 1 N w c m V t Z W 5 p I H Z y c 3 R v L n t 0 a X R s Z V 9 p Z C w x M X 0 m c X V v d D s s J n F 1 b 3 Q 7 U 2 V j d G l v b j E v Q W N j Z X N z R W 5 n a W 5 l Z X J p b m d L Q k F S V C A o M S k v U 3 B y Z W 1 l b m k g d n J z d G 8 u e 2 V t Y m F y Z 2 9 f a W 5 m b y w x M n 0 m c X V v d D s s J n F 1 b 3 Q 7 U 2 V j d G l v b j E v Q W N j Z X N z R W 5 n a W 5 l Z X J p b m d L Q k F S V C A o M S k v U 3 B y Z W 1 l b m k g d n J z d G 8 u e 2 N v d m V y Y W d l X 2 R l c H R o L D E z f S Z x d W 9 0 O y w m c X V v d D t T Z W N 0 a W 9 u M S 9 B Y 2 N l c 3 N F b m d p b m V l c m l u Z 0 t C Q V J U I C g x K S 9 T c H J l b W V u a S B 2 c n N 0 b y 5 7 b m 9 0 Z X M s M T R 9 J n F 1 b 3 Q 7 L C Z x d W 9 0 O 1 N l Y 3 R p b 2 4 x L 0 F j Y 2 V z c 0 V u Z 2 l u Z W V y a W 5 n S 0 J B U l Q g K D E p L 1 N w c m V t Z W 5 p I H Z y c 3 R v L n t w d W J s a X N o Z X J f b m F t Z S w x N X 0 m c X V v d D s s J n F 1 b 3 Q 7 U 2 V j d G l v b j E v Q W N j Z X N z R W 5 n a W 5 l Z X J p b m d L Q k F S V C A o M S k v U 3 B y Z W 1 l b m k g d n J z d G 8 u e 3 B 1 Y m x p Y 2 F 0 a W 9 u X 3 R 5 c G U s M T Z 9 J n F 1 b 3 Q 7 L C Z x d W 9 0 O 1 N l Y 3 R p b 2 4 x L 0 F j Y 2 V z c 0 V u Z 2 l u Z W V y a W 5 n S 0 J B U l Q g K D E p L 1 N w c m V t Z W 5 p I H Z y c 3 R v L n t k Y X R l X 2 1 v b m 9 n c m F w a F 9 w d W J s a X N o Z W R f c H J p b n Q s M T d 9 J n F 1 b 3 Q 7 L C Z x d W 9 0 O 1 N l Y 3 R p b 2 4 x L 0 F j Y 2 V z c 0 V u Z 2 l u Z W V y a W 5 n S 0 J B U l Q g K D E p L 1 N w c m V t Z W 5 p I H Z y c 3 R v L n t k Y X R l X 2 1 v b m 9 n c m F w a F 9 w d W J s a X N o Z W R f b 2 5 s a W 5 l L D E 4 f S Z x d W 9 0 O y w m c X V v d D t T Z W N 0 a W 9 u M S 9 B Y 2 N l c 3 N F b m d p b m V l c m l u Z 0 t C Q V J U I C g x K S 9 T c H J l b W V u a S B 2 c n N 0 b y 5 7 b W 9 u b 2 d y Y X B o X 3 Z v b H V t Z S w x O X 0 m c X V v d D s s J n F 1 b 3 Q 7 U 2 V j d G l v b j E v Q W N j Z X N z R W 5 n a W 5 l Z X J p b m d L Q k F S V C A o M S k v U 3 B y Z W 1 l b m k g d n J z d G 8 u e 2 1 v b m 9 n c m F w a F 9 l Z G l 0 a W 9 u L D I w f S Z x d W 9 0 O y w m c X V v d D t T Z W N 0 a W 9 u M S 9 B Y 2 N l c 3 N F b m d p b m V l c m l u Z 0 t C Q V J U I C g x K S 9 T c H J l b W V u a S B 2 c n N 0 b y 5 7 Z m l y c 3 R f Z W R p d G 9 y L D I x f S Z x d W 9 0 O y w m c X V v d D t T Z W N 0 a W 9 u M S 9 B Y 2 N l c 3 N F b m d p b m V l c m l u Z 0 t C Q V J U I C g x K S 9 T c H J l b W V u a S B 2 c n N 0 b y 5 7 c G F y Z W 5 0 X 3 B 1 Y m x p Y 2 F 0 a W 9 u X 3 R p d G x l X 2 l k L D I y f S Z x d W 9 0 O y w m c X V v d D t T Z W N 0 a W 9 u M S 9 B Y 2 N l c 3 N F b m d p b m V l c m l u Z 0 t C Q V J U I C g x K S 9 T c H J l b W V u a S B 2 c n N 0 b y 5 7 c H J l Y 2 V k a W 5 n X 3 B 1 Y m x p Y 2 F 0 a W 9 u X 3 R p d G x l X 2 l k L D I z f S Z x d W 9 0 O y w m c X V v d D t T Z W N 0 a W 9 u M S 9 B Y 2 N l c 3 N F b m d p b m V l c m l u Z 0 t C Q V J U I C g x K S 9 T c H J l b W V u a S B 2 c n N 0 b y 5 7 Y W N j Z X N z X 3 R 5 c G U s M j R 9 J n F 1 b 3 Q 7 X S w m c X V v d D t S Z W x h d G l v b n N o a X B J b m Z v J n F 1 b 3 Q 7 O l t d f S I g L z 4 8 R W 5 0 c n k g V H l w Z T 0 i R m l s b E N v d W 5 0 I i B W Y W x 1 Z T 0 i b D k 5 O C I g L z 4 8 R W 5 0 c n k g V H l w Z T 0 i R m l s b F N 0 Y X R 1 c y I g V m F s d W U 9 I n N D b 2 1 w b G V 0 Z S I g L z 4 8 R W 5 0 c n k g V H l w Z T 0 i R m l s b E N v b H V t b k 5 h b W V z I i B W Y W x 1 Z T 0 i c 1 s m c X V v d D t w d W J s a X N o Z W R f d G l 0 b G U m c X V v d D s s J n F 1 b 3 Q 7 c H J p b n R f a W R l b n R p Z m l l c i Z x d W 9 0 O y w m c X V v d D t v b m x p b m V f a W R l b n R p Z m l l c i Z x d W 9 0 O y w m c X V v d D t k Y X R l X 2 Z p c n N 0 X 2 l z c 3 V l X 2 9 u b G l u Z S Z x d W 9 0 O y w m c X V v d D t u d W 1 f Z m l y c 3 R f d m 9 s X 2 9 u b G l u Z S Z x d W 9 0 O y w m c X V v d D t u d W 1 f Z m l y c 3 R f a X N z d W V f b 2 5 s a W 5 l J n F 1 b 3 Q 7 L C Z x d W 9 0 O 2 R h d G V f b G F z d F 9 p c 3 N 1 Z V 9 v b m x p b m U m c X V v d D s s J n F 1 b 3 Q 7 b n V t X 2 x h c 3 R f d m 9 s X 2 9 u b G l u Z S Z x d W 9 0 O y w m c X V v d D t u d W 1 f b G F z d F 9 p c 3 N 1 Z V 9 v b m x p b m U m c X V v d D s s J n F 1 b 3 Q 7 d G l 0 b G V f d X J s J n F 1 b 3 Q 7 L C Z x d W 9 0 O 2 Z p c n N 0 X 2 F 1 d G h v c i Z x d W 9 0 O y w m c X V v d D t 0 a X R s Z V 9 p Z C Z x d W 9 0 O y w m c X V v d D t l b W J h c m d v X 2 l u Z m 8 m c X V v d D s s J n F 1 b 3 Q 7 Y 2 9 2 Z X J h Z 2 V f Z G V w d G g m c X V v d D s s J n F 1 b 3 Q 7 b m 9 0 Z X M m c X V v d D s s J n F 1 b 3 Q 7 c H V i b G l z a G V y X 2 5 h b W U m c X V v d D s s J n F 1 b 3 Q 7 c H V i b G l j Y X R p b 2 5 f d H l w Z S Z x d W 9 0 O y w m c X V v d D t k Y X R l X 2 1 v b m 9 n c m F w a F 9 w d W J s a X N o Z W R f c H J p b n Q m c X V v d D s s J n F 1 b 3 Q 7 Z G F 0 Z V 9 t b 2 5 v Z 3 J h c G h f c H V i b G l z a G V k X 2 9 u b G l u Z S Z x d W 9 0 O y w m c X V v d D t t b 2 5 v Z 3 J h c G h f d m 9 s d W 1 l J n F 1 b 3 Q 7 L C Z x d W 9 0 O 2 1 v b m 9 n c m F w a F 9 l Z G l 0 a W 9 u J n F 1 b 3 Q 7 L C Z x d W 9 0 O 2 Z p c n N 0 X 2 V k a X R v c i Z x d W 9 0 O y w m c X V v d D t w Y X J l b n R f c H V i b G l j Y X R p b 2 5 f d G l 0 b G V f a W Q m c X V v d D s s J n F 1 b 3 Q 7 c H J l Y 2 V k a W 5 n X 3 B 1 Y m x p Y 2 F 0 a W 9 u X 3 R p d G x l X 2 l k J n F 1 b 3 Q 7 L C Z x d W 9 0 O 2 F j Y 2 V z c 1 9 0 e X B l J n F 1 b 3 Q 7 X S I g L z 4 8 R W 5 0 c n k g V H l w Z T 0 i R m l s b E N v b H V t b l R 5 c G V z I i B W Y W x 1 Z T 0 i c 0 J n T U R C Z 1 l H Q m d Z R 0 J n W U d C Z 1 l H Q m d Z R 0 J n W U d C Z 1 l H Q m c 9 P S I g L z 4 8 R W 5 0 c n k g V H l w Z T 0 i R m l s b E x h c 3 R V c G R h d G V k I i B W Y W x 1 Z T 0 i Z D I w M j U t M T A t M T V U M D g 6 M D k 6 N T A u O D E 0 N T Q x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Y 2 N l c 3 N F b m d p b m V l c m l u Z 0 t C Q V J U J T I w K D I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Y 2 V z c 0 V u Z 2 l u Z W V y a W 5 n S 0 J B U l Q l M j A o M i k v U H J 2 b y U y M H Z y c 3 R p Y 2 8 l M j B 1 c G 9 y Y W J p J T I w a 2 9 0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2 N l c 3 N F b m d p b m V l c m l u Z 0 t C Q V J U J T I w K D I p L 1 N w c m V t Z W 5 p J T I w d n J z d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y U a s B 8 d i k K Q g f M 3 X I m 9 p w A A A A A C A A A A A A A Q Z g A A A A E A A C A A A A B P r v G D P p d 8 i i W 0 K s b A Z U r d K o Y H d Q C 8 0 c u K F V 5 U G A R H 5 Q A A A A A O g A A A A A I A A C A A A A B 1 s A c U e 8 S p P M l N F Q u c Y f Z J E P i r l D w s w K o U B m O r x 0 t v q 1 A A A A C t 7 2 8 i Y E W C O 2 v + I K O V 2 c b 8 g S m U W c e z U r 8 s M h u j Q C D 9 3 p J P 7 X C K W c 8 + O F c 6 l + E S L w z k P P q O I D C g L R 2 9 M + b r v y a j B z o P I T N U y 5 T x C X i q j Q b s I U A A A A C q z y H 2 / y D + n 8 R B x / l k O 7 h d a f S i R E o n 1 n + W q V 7 m S r w 2 / C g G g g Q I r 4 C g U 9 N l / v P J p p h y z E l V v i E 5 3 5 n h k 3 1 z F V H z < / D a t a M a s h u p > 
</file>

<file path=customXml/itemProps1.xml><?xml version="1.0" encoding="utf-8"?>
<ds:datastoreItem xmlns:ds="http://schemas.openxmlformats.org/officeDocument/2006/customXml" ds:itemID="{1A59F927-63F4-4B60-9562-D3F582E301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books</vt:lpstr>
      <vt:lpstr>videos</vt:lpstr>
      <vt:lpstr>spreadsheets</vt:lpstr>
      <vt:lpstr>tutorials</vt:lpstr>
      <vt:lpstr>case studies</vt:lpstr>
      <vt:lpstr>DataVis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Intihar, Tatjana</dc:creator>
  <cp:lastModifiedBy>Intihar, Tatjana</cp:lastModifiedBy>
  <dcterms:created xsi:type="dcterms:W3CDTF">2025-10-15T07:00:15Z</dcterms:created>
  <dcterms:modified xsi:type="dcterms:W3CDTF">2025-10-15T08:27:07Z</dcterms:modified>
</cp:coreProperties>
</file>